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hidePivotFieldList="1" autoCompressPictures="0"/>
  <mc:AlternateContent xmlns:mc="http://schemas.openxmlformats.org/markup-compatibility/2006">
    <mc:Choice Requires="x15">
      <x15ac:absPath xmlns:x15ac="http://schemas.microsoft.com/office/spreadsheetml/2010/11/ac" url="https://inrev.sharepoint.com/sites/INREVTeam/Shared Documents/Market Information/INREV Calculation Guide/2018/"/>
    </mc:Choice>
  </mc:AlternateContent>
  <xr:revisionPtr revIDLastSave="0" documentId="8_{FE0F3157-7D32-44AF-9DC3-38BF149DAC6E}" xr6:coauthVersionLast="46" xr6:coauthVersionMax="46" xr10:uidLastSave="{00000000-0000-0000-0000-000000000000}"/>
  <bookViews>
    <workbookView xWindow="-120" yWindow="-120" windowWidth="24240" windowHeight="13140" tabRatio="860" xr2:uid="{00000000-000D-0000-FFFF-FFFF00000000}"/>
  </bookViews>
  <sheets>
    <sheet name="Frontpage" sheetId="28" r:id="rId1"/>
    <sheet name="ContactDetails" sheetId="27" r:id="rId2"/>
    <sheet name="Table of Contents" sheetId="21" r:id="rId3"/>
    <sheet name="Single year return 2010" sheetId="235" r:id="rId4"/>
    <sheet name="Single year return 2011" sheetId="234" r:id="rId5"/>
    <sheet name="Single year return 2012" sheetId="236" r:id="rId6"/>
    <sheet name="Multi year index figures" sheetId="238" r:id="rId7"/>
    <sheet name="Multi year two funds" sheetId="237" r:id="rId8"/>
    <sheet name="Multi year index two funds" sheetId="239" r:id="rId9"/>
    <sheet name="Quarterly return 2010" sheetId="243" r:id="rId10"/>
    <sheet name="Quarterly return 2011" sheetId="240" r:id="rId11"/>
    <sheet name="Quarterly return 2012" sheetId="244" r:id="rId12"/>
    <sheet name="Quarterly multi year two funds" sheetId="247" r:id="rId13"/>
    <sheet name="Four quarters rolling return" sheetId="242" r:id="rId14"/>
    <sheet name="Three year annualised return" sheetId="245" r:id="rId15"/>
    <sheet name="Three year compounded return" sheetId="246" r:id="rId16"/>
    <sheet name="Country and sector allocation" sheetId="248" r:id="rId17"/>
    <sheet name="Currency conversion - NAV" sheetId="249" r:id="rId18"/>
    <sheet name="Currency conversion - cashflows" sheetId="250" r:id="rId19"/>
    <sheet name="Currency conversion - returns" sheetId="251" r:id="rId20"/>
    <sheet name="Curr. conv. Multiyear two funds" sheetId="253" r:id="rId21"/>
    <sheet name="Curr. conv. Multiyear Index" sheetId="254" r:id="rId22"/>
    <sheet name="Local currency conversion" sheetId="252" r:id="rId23"/>
    <sheet name="TermsofUse&amp;Disclaimer" sheetId="29" r:id="rId24"/>
  </sheets>
  <definedNames>
    <definedName name="RMITeam">ContactDetails!$B$9:$B$13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252" l="1"/>
  <c r="B1" i="253"/>
  <c r="B1" i="237"/>
  <c r="S18" i="252"/>
  <c r="T19" i="252"/>
  <c r="D10" i="21"/>
  <c r="F49" i="254" l="1"/>
  <c r="E49" i="254"/>
  <c r="D49" i="254"/>
  <c r="F36" i="254"/>
  <c r="E36" i="254"/>
  <c r="D36" i="254"/>
  <c r="F23" i="254"/>
  <c r="E23" i="254"/>
  <c r="D23" i="254"/>
  <c r="I15" i="254"/>
  <c r="I14" i="254"/>
  <c r="I13" i="254"/>
  <c r="B1" i="254"/>
  <c r="P25" i="251" l="1"/>
  <c r="K25" i="251"/>
  <c r="J25" i="251"/>
  <c r="I25" i="251"/>
  <c r="P24" i="251"/>
  <c r="K24" i="251"/>
  <c r="J24" i="251"/>
  <c r="I24" i="251"/>
  <c r="P23" i="251"/>
  <c r="K23" i="251"/>
  <c r="J23" i="251"/>
  <c r="I23" i="251"/>
  <c r="P22" i="251"/>
  <c r="K22" i="251"/>
  <c r="J22" i="251"/>
  <c r="Q22" i="251" s="1"/>
  <c r="I22" i="251"/>
  <c r="P21" i="251"/>
  <c r="K21" i="251"/>
  <c r="J21" i="251"/>
  <c r="I21" i="251"/>
  <c r="F13" i="251"/>
  <c r="E13" i="251"/>
  <c r="D13" i="251"/>
  <c r="C13" i="251"/>
  <c r="B13" i="251"/>
  <c r="D23" i="249"/>
  <c r="D21" i="249"/>
  <c r="B21" i="249"/>
  <c r="J13" i="249"/>
  <c r="I13" i="249"/>
  <c r="P18" i="251"/>
  <c r="K18" i="251"/>
  <c r="J18" i="251"/>
  <c r="I18" i="251"/>
  <c r="P17" i="251"/>
  <c r="K17" i="251"/>
  <c r="J17" i="251"/>
  <c r="I17" i="251"/>
  <c r="P16" i="251"/>
  <c r="K16" i="251"/>
  <c r="J16" i="251"/>
  <c r="I16" i="251"/>
  <c r="K15" i="251"/>
  <c r="J15" i="251"/>
  <c r="I15" i="251"/>
  <c r="P14" i="251"/>
  <c r="K14" i="251"/>
  <c r="J14" i="251"/>
  <c r="I14" i="251"/>
  <c r="P13" i="251"/>
  <c r="K13" i="251"/>
  <c r="J13" i="251"/>
  <c r="I13" i="251"/>
  <c r="F16" i="251"/>
  <c r="E16" i="251"/>
  <c r="D16" i="251"/>
  <c r="C16" i="251"/>
  <c r="B16" i="251"/>
  <c r="P58" i="250"/>
  <c r="P56" i="250"/>
  <c r="N56" i="250"/>
  <c r="O54" i="250"/>
  <c r="P50" i="250"/>
  <c r="P48" i="250"/>
  <c r="N48" i="250"/>
  <c r="O46" i="250"/>
  <c r="P42" i="250"/>
  <c r="P40" i="250"/>
  <c r="N40" i="250"/>
  <c r="O38" i="250"/>
  <c r="P34" i="250"/>
  <c r="P32" i="250"/>
  <c r="N32" i="250"/>
  <c r="O30" i="250"/>
  <c r="D74" i="250"/>
  <c r="D72" i="250"/>
  <c r="B72" i="250"/>
  <c r="C70" i="250"/>
  <c r="D66" i="250"/>
  <c r="D64" i="250"/>
  <c r="B64" i="250"/>
  <c r="C62" i="250"/>
  <c r="D58" i="250"/>
  <c r="D56" i="250"/>
  <c r="B56" i="250"/>
  <c r="C54" i="250"/>
  <c r="B48" i="250"/>
  <c r="C46" i="250"/>
  <c r="D42" i="250"/>
  <c r="D40" i="250"/>
  <c r="B40" i="250"/>
  <c r="C38" i="250"/>
  <c r="D34" i="250"/>
  <c r="D32" i="250"/>
  <c r="B32" i="250"/>
  <c r="C30" i="250"/>
  <c r="J34" i="250"/>
  <c r="J32" i="250"/>
  <c r="H32" i="250"/>
  <c r="I30" i="250"/>
  <c r="I15" i="250"/>
  <c r="L25" i="250"/>
  <c r="K25" i="250"/>
  <c r="L24" i="250"/>
  <c r="K24" i="250"/>
  <c r="L23" i="250"/>
  <c r="K23" i="250"/>
  <c r="L22" i="250"/>
  <c r="K22" i="250"/>
  <c r="L21" i="250"/>
  <c r="K21" i="250"/>
  <c r="L20" i="250"/>
  <c r="K20" i="250"/>
  <c r="L18" i="250"/>
  <c r="K18" i="250"/>
  <c r="L17" i="250"/>
  <c r="K17" i="250"/>
  <c r="L16" i="250"/>
  <c r="K16" i="250"/>
  <c r="L15" i="250"/>
  <c r="K15" i="250"/>
  <c r="L14" i="250"/>
  <c r="K14" i="250"/>
  <c r="L13" i="250"/>
  <c r="K13" i="250"/>
  <c r="G25" i="250"/>
  <c r="N25" i="251" s="1"/>
  <c r="F25" i="250"/>
  <c r="E25" i="250"/>
  <c r="L25" i="251" s="1"/>
  <c r="G24" i="250"/>
  <c r="N24" i="251" s="1"/>
  <c r="F24" i="250"/>
  <c r="M24" i="251" s="1"/>
  <c r="E24" i="250"/>
  <c r="L24" i="251" s="1"/>
  <c r="G23" i="250"/>
  <c r="N23" i="251" s="1"/>
  <c r="F23" i="250"/>
  <c r="M23" i="251" s="1"/>
  <c r="E23" i="250"/>
  <c r="L23" i="251" s="1"/>
  <c r="G22" i="250"/>
  <c r="N22" i="251" s="1"/>
  <c r="F22" i="250"/>
  <c r="M22" i="251" s="1"/>
  <c r="E22" i="250"/>
  <c r="G13" i="250"/>
  <c r="N13" i="251" s="1"/>
  <c r="F13" i="250"/>
  <c r="E13" i="250"/>
  <c r="L13" i="251" s="1"/>
  <c r="G14" i="250"/>
  <c r="N14" i="251" s="1"/>
  <c r="F14" i="250"/>
  <c r="M14" i="251" s="1"/>
  <c r="E14" i="250"/>
  <c r="G15" i="250"/>
  <c r="N15" i="251" s="1"/>
  <c r="F15" i="250"/>
  <c r="M15" i="251" s="1"/>
  <c r="E15" i="250"/>
  <c r="L15" i="251" s="1"/>
  <c r="G16" i="250"/>
  <c r="N16" i="251" s="1"/>
  <c r="F16" i="250"/>
  <c r="M16" i="251" s="1"/>
  <c r="E16" i="250"/>
  <c r="L16" i="251" s="1"/>
  <c r="G17" i="250"/>
  <c r="N17" i="251" s="1"/>
  <c r="F17" i="250"/>
  <c r="M17" i="251" s="1"/>
  <c r="E17" i="250"/>
  <c r="G18" i="250"/>
  <c r="N18" i="251" s="1"/>
  <c r="F18" i="250"/>
  <c r="M18" i="251" s="1"/>
  <c r="E18" i="250"/>
  <c r="L18" i="251" s="1"/>
  <c r="E19" i="250"/>
  <c r="L13" i="252" s="1"/>
  <c r="F19" i="250"/>
  <c r="E20" i="250"/>
  <c r="F20" i="250"/>
  <c r="E21" i="250"/>
  <c r="L21" i="251" s="1"/>
  <c r="F21" i="250"/>
  <c r="M21" i="251" s="1"/>
  <c r="G19" i="250"/>
  <c r="N13" i="252" s="1"/>
  <c r="K19" i="250"/>
  <c r="L19" i="250"/>
  <c r="L14" i="252"/>
  <c r="G20" i="250"/>
  <c r="N14" i="252" s="1"/>
  <c r="M15" i="252"/>
  <c r="G21" i="250"/>
  <c r="D50" i="249"/>
  <c r="D48" i="249"/>
  <c r="B48" i="249"/>
  <c r="J16" i="249"/>
  <c r="I16" i="249"/>
  <c r="K15" i="252"/>
  <c r="J15" i="252"/>
  <c r="I15" i="252"/>
  <c r="K14" i="252"/>
  <c r="I14" i="252"/>
  <c r="G14" i="252"/>
  <c r="P13" i="252"/>
  <c r="P14" i="252" s="1"/>
  <c r="P15" i="252" s="1"/>
  <c r="K13" i="252"/>
  <c r="J13" i="252"/>
  <c r="Q13" i="252" s="1"/>
  <c r="I13" i="252"/>
  <c r="G13" i="252"/>
  <c r="F35" i="238"/>
  <c r="E35" i="238"/>
  <c r="D35" i="238"/>
  <c r="F22" i="238"/>
  <c r="E22" i="238"/>
  <c r="D22" i="238"/>
  <c r="I14" i="238"/>
  <c r="I13" i="238"/>
  <c r="I12" i="238"/>
  <c r="B1" i="238"/>
  <c r="D68" i="236"/>
  <c r="F14" i="237" s="1"/>
  <c r="E65" i="236"/>
  <c r="D52" i="236"/>
  <c r="E14" i="237" s="1"/>
  <c r="E49" i="236"/>
  <c r="D36" i="236"/>
  <c r="D14" i="237" s="1"/>
  <c r="F35" i="237" s="1"/>
  <c r="E33" i="236"/>
  <c r="I24" i="236"/>
  <c r="H24" i="236"/>
  <c r="G24" i="236"/>
  <c r="I23" i="236"/>
  <c r="H23" i="236"/>
  <c r="G23" i="236"/>
  <c r="J23" i="236" s="1"/>
  <c r="I22" i="236"/>
  <c r="H22" i="236"/>
  <c r="G22" i="236"/>
  <c r="I21" i="236"/>
  <c r="H21" i="236"/>
  <c r="G21" i="236"/>
  <c r="J21" i="236" s="1"/>
  <c r="I20" i="236"/>
  <c r="H20" i="236"/>
  <c r="G20" i="236"/>
  <c r="I19" i="236"/>
  <c r="H19" i="236"/>
  <c r="G19" i="236"/>
  <c r="J19" i="236" s="1"/>
  <c r="I18" i="236"/>
  <c r="H18" i="236"/>
  <c r="G18" i="236"/>
  <c r="I17" i="236"/>
  <c r="H17" i="236"/>
  <c r="G17" i="236"/>
  <c r="J17" i="236" s="1"/>
  <c r="I16" i="236"/>
  <c r="H16" i="236"/>
  <c r="G16" i="236"/>
  <c r="I15" i="236"/>
  <c r="H15" i="236"/>
  <c r="G15" i="236"/>
  <c r="J15" i="236" s="1"/>
  <c r="I14" i="236"/>
  <c r="H14" i="236"/>
  <c r="G14" i="236"/>
  <c r="I13" i="236"/>
  <c r="H13" i="236"/>
  <c r="G13" i="236"/>
  <c r="J13" i="236" s="1"/>
  <c r="I12" i="236"/>
  <c r="H12" i="236"/>
  <c r="G12" i="236"/>
  <c r="B1" i="236"/>
  <c r="D68" i="234"/>
  <c r="F13" i="237" s="1"/>
  <c r="D66" i="237" s="1"/>
  <c r="F65" i="234"/>
  <c r="D52" i="234"/>
  <c r="E13" i="237" s="1"/>
  <c r="E49" i="234"/>
  <c r="D36" i="234"/>
  <c r="D13" i="237" s="1"/>
  <c r="E33" i="234"/>
  <c r="I24" i="234"/>
  <c r="H24" i="234"/>
  <c r="G24" i="234"/>
  <c r="I23" i="234"/>
  <c r="H23" i="234"/>
  <c r="G23" i="234"/>
  <c r="J23" i="234" s="1"/>
  <c r="I22" i="234"/>
  <c r="H22" i="234"/>
  <c r="G22" i="234"/>
  <c r="I21" i="234"/>
  <c r="H21" i="234"/>
  <c r="G21" i="234"/>
  <c r="J21" i="234" s="1"/>
  <c r="I20" i="234"/>
  <c r="H20" i="234"/>
  <c r="G20" i="234"/>
  <c r="I19" i="234"/>
  <c r="H19" i="234"/>
  <c r="G19" i="234"/>
  <c r="J19" i="234" s="1"/>
  <c r="I18" i="234"/>
  <c r="H18" i="234"/>
  <c r="G18" i="234"/>
  <c r="I17" i="234"/>
  <c r="H17" i="234"/>
  <c r="G17" i="234"/>
  <c r="J17" i="234" s="1"/>
  <c r="I16" i="234"/>
  <c r="H16" i="234"/>
  <c r="G16" i="234"/>
  <c r="I15" i="234"/>
  <c r="H15" i="234"/>
  <c r="G15" i="234"/>
  <c r="J15" i="234" s="1"/>
  <c r="I14" i="234"/>
  <c r="H14" i="234"/>
  <c r="G14" i="234"/>
  <c r="I13" i="234"/>
  <c r="H13" i="234"/>
  <c r="G13" i="234"/>
  <c r="J13" i="234" s="1"/>
  <c r="I12" i="234"/>
  <c r="H12" i="234"/>
  <c r="G12" i="234"/>
  <c r="B1" i="234"/>
  <c r="D68" i="235"/>
  <c r="F12" i="237" s="1"/>
  <c r="E65" i="235"/>
  <c r="D52" i="235"/>
  <c r="E12" i="237" s="1"/>
  <c r="E49" i="235"/>
  <c r="D36" i="235"/>
  <c r="D12" i="237" s="1"/>
  <c r="E33" i="235"/>
  <c r="I24" i="235"/>
  <c r="H24" i="235"/>
  <c r="G24" i="235"/>
  <c r="I23" i="235"/>
  <c r="H23" i="235"/>
  <c r="G23" i="235"/>
  <c r="J23" i="235" s="1"/>
  <c r="I22" i="235"/>
  <c r="H22" i="235"/>
  <c r="G22" i="235"/>
  <c r="I21" i="235"/>
  <c r="H21" i="235"/>
  <c r="G21" i="235"/>
  <c r="J21" i="235" s="1"/>
  <c r="I20" i="235"/>
  <c r="H20" i="235"/>
  <c r="G20" i="235"/>
  <c r="I19" i="235"/>
  <c r="H19" i="235"/>
  <c r="G19" i="235"/>
  <c r="J19" i="235" s="1"/>
  <c r="I18" i="235"/>
  <c r="H18" i="235"/>
  <c r="G18" i="235"/>
  <c r="I17" i="235"/>
  <c r="H17" i="235"/>
  <c r="G17" i="235"/>
  <c r="J17" i="235" s="1"/>
  <c r="I16" i="235"/>
  <c r="H16" i="235"/>
  <c r="G16" i="235"/>
  <c r="I15" i="235"/>
  <c r="H15" i="235"/>
  <c r="G15" i="235"/>
  <c r="J15" i="235" s="1"/>
  <c r="I14" i="235"/>
  <c r="H14" i="235"/>
  <c r="G14" i="235"/>
  <c r="I13" i="235"/>
  <c r="H13" i="235"/>
  <c r="G13" i="235"/>
  <c r="J13" i="235" s="1"/>
  <c r="I12" i="235"/>
  <c r="H12" i="235"/>
  <c r="G12" i="235"/>
  <c r="B1" i="235"/>
  <c r="D9" i="21"/>
  <c r="D29" i="21"/>
  <c r="D7" i="21"/>
  <c r="C47" i="21"/>
  <c r="D6" i="21"/>
  <c r="D8" i="21"/>
  <c r="L15" i="252" l="1"/>
  <c r="J14" i="235"/>
  <c r="J22" i="235"/>
  <c r="J20" i="234"/>
  <c r="J18" i="236"/>
  <c r="J12" i="235"/>
  <c r="J20" i="235"/>
  <c r="J18" i="234"/>
  <c r="J16" i="236"/>
  <c r="J24" i="236"/>
  <c r="J18" i="235"/>
  <c r="J16" i="234"/>
  <c r="J24" i="234"/>
  <c r="J14" i="236"/>
  <c r="J22" i="236"/>
  <c r="J16" i="235"/>
  <c r="J24" i="235"/>
  <c r="J14" i="234"/>
  <c r="J22" i="234"/>
  <c r="J12" i="236"/>
  <c r="J20" i="236"/>
  <c r="D50" i="235"/>
  <c r="D34" i="235"/>
  <c r="D29" i="237"/>
  <c r="F46" i="237"/>
  <c r="D46" i="237"/>
  <c r="F63" i="237"/>
  <c r="D63" i="237"/>
  <c r="J12" i="234"/>
  <c r="D34" i="234"/>
  <c r="D32" i="237"/>
  <c r="F32" i="237"/>
  <c r="F49" i="237"/>
  <c r="D49" i="237"/>
  <c r="D66" i="236"/>
  <c r="D69" i="237"/>
  <c r="N15" i="252"/>
  <c r="N21" i="251"/>
  <c r="H17" i="250"/>
  <c r="O17" i="251" s="1"/>
  <c r="L17" i="251"/>
  <c r="H14" i="250"/>
  <c r="O14" i="251" s="1"/>
  <c r="L14" i="251"/>
  <c r="H13" i="250"/>
  <c r="O13" i="251" s="1"/>
  <c r="M13" i="251"/>
  <c r="H22" i="250"/>
  <c r="O22" i="251" s="1"/>
  <c r="L22" i="251"/>
  <c r="H25" i="250"/>
  <c r="O25" i="251" s="1"/>
  <c r="M25" i="251"/>
  <c r="P15" i="251"/>
  <c r="D50" i="250"/>
  <c r="D48" i="250"/>
  <c r="Q15" i="252"/>
  <c r="Q24" i="251"/>
  <c r="Q13" i="251"/>
  <c r="Q15" i="251"/>
  <c r="Q16" i="251"/>
  <c r="Q17" i="251"/>
  <c r="Q14" i="251"/>
  <c r="Q18" i="251"/>
  <c r="G13" i="251"/>
  <c r="Q21" i="251"/>
  <c r="Q23" i="251"/>
  <c r="Q25" i="251"/>
  <c r="G16" i="251"/>
  <c r="H15" i="250"/>
  <c r="O15" i="251" s="1"/>
  <c r="H23" i="250"/>
  <c r="O23" i="251" s="1"/>
  <c r="H16" i="250"/>
  <c r="O16" i="251" s="1"/>
  <c r="H24" i="250"/>
  <c r="O24" i="251" s="1"/>
  <c r="H18" i="250"/>
  <c r="O18" i="251" s="1"/>
  <c r="H20" i="250"/>
  <c r="O14" i="252" s="1"/>
  <c r="H19" i="250"/>
  <c r="O13" i="252" s="1"/>
  <c r="M14" i="252"/>
  <c r="M13" i="252"/>
  <c r="H21" i="250"/>
  <c r="J14" i="252"/>
  <c r="Q14" i="252" s="1"/>
  <c r="F66" i="237"/>
  <c r="F29" i="237"/>
  <c r="D52" i="237"/>
  <c r="F69" i="237"/>
  <c r="D35" i="237"/>
  <c r="F52" i="237"/>
  <c r="D53" i="235"/>
  <c r="D37" i="234"/>
  <c r="G13" i="237" s="1"/>
  <c r="D66" i="234"/>
  <c r="D50" i="236"/>
  <c r="D66" i="235"/>
  <c r="D55" i="235"/>
  <c r="D53" i="236"/>
  <c r="D55" i="236" s="1"/>
  <c r="D50" i="234"/>
  <c r="D34" i="236"/>
  <c r="D53" i="234"/>
  <c r="D55" i="234" s="1"/>
  <c r="D37" i="236"/>
  <c r="G14" i="237" s="1"/>
  <c r="D37" i="235"/>
  <c r="G12" i="237" s="1"/>
  <c r="D39" i="236"/>
  <c r="B1" i="21"/>
  <c r="C56" i="21"/>
  <c r="C55" i="21"/>
  <c r="C48" i="21"/>
  <c r="C57" i="21"/>
  <c r="F30" i="237" l="1"/>
  <c r="H29" i="237"/>
  <c r="J12" i="237" s="1"/>
  <c r="H46" i="237"/>
  <c r="J13" i="237" s="1"/>
  <c r="D64" i="237"/>
  <c r="H63" i="237"/>
  <c r="J14" i="237" s="1"/>
  <c r="D47" i="237"/>
  <c r="F64" i="237"/>
  <c r="D30" i="237"/>
  <c r="F47" i="237"/>
  <c r="H35" i="237"/>
  <c r="L12" i="237" s="1"/>
  <c r="F36" i="237"/>
  <c r="H52" i="237"/>
  <c r="L13" i="237" s="1"/>
  <c r="H69" i="237"/>
  <c r="L14" i="237" s="1"/>
  <c r="D53" i="237"/>
  <c r="F70" i="237"/>
  <c r="D36" i="237"/>
  <c r="F53" i="237"/>
  <c r="D70" i="237"/>
  <c r="F33" i="237"/>
  <c r="F67" i="237"/>
  <c r="D67" i="237"/>
  <c r="F50" i="237"/>
  <c r="D50" i="237"/>
  <c r="D33" i="237"/>
  <c r="H32" i="237"/>
  <c r="K12" i="237" s="1"/>
  <c r="H49" i="237"/>
  <c r="K13" i="237" s="1"/>
  <c r="H66" i="237"/>
  <c r="K14" i="237" s="1"/>
  <c r="O15" i="252"/>
  <c r="O21" i="251"/>
  <c r="AD75" i="251"/>
  <c r="AE72" i="251"/>
  <c r="D76" i="251"/>
  <c r="D44" i="251"/>
  <c r="G13" i="253" s="1"/>
  <c r="D60" i="251"/>
  <c r="D41" i="251"/>
  <c r="D73" i="251"/>
  <c r="D57" i="251"/>
  <c r="D75" i="251"/>
  <c r="F13" i="253" s="1"/>
  <c r="E72" i="251"/>
  <c r="E39" i="252"/>
  <c r="D40" i="252"/>
  <c r="D42" i="252"/>
  <c r="E23" i="252"/>
  <c r="D24" i="252"/>
  <c r="E13" i="238"/>
  <c r="O13" i="234"/>
  <c r="U22" i="251" s="1"/>
  <c r="T21" i="252" s="1"/>
  <c r="O13" i="236"/>
  <c r="V22" i="251" s="1"/>
  <c r="F13" i="238"/>
  <c r="F12" i="238"/>
  <c r="O12" i="236"/>
  <c r="V21" i="251" s="1"/>
  <c r="D39" i="235"/>
  <c r="D27" i="252"/>
  <c r="D26" i="252"/>
  <c r="D43" i="252"/>
  <c r="D39" i="234"/>
  <c r="O13" i="235"/>
  <c r="T22" i="251" s="1"/>
  <c r="D13" i="238"/>
  <c r="D69" i="235"/>
  <c r="D71" i="235" s="1"/>
  <c r="D69" i="234"/>
  <c r="D71" i="234" s="1"/>
  <c r="D69" i="236"/>
  <c r="D71" i="236" s="1"/>
  <c r="F48" i="238"/>
  <c r="E48" i="238"/>
  <c r="D48" i="238"/>
  <c r="D59" i="252"/>
  <c r="D58" i="252"/>
  <c r="D56" i="252"/>
  <c r="E55" i="252"/>
  <c r="S23" i="251"/>
  <c r="S22" i="252" s="1"/>
  <c r="S22" i="251"/>
  <c r="S21" i="252" s="1"/>
  <c r="S21" i="251"/>
  <c r="S20" i="252" s="1"/>
  <c r="H64" i="253" l="1"/>
  <c r="J15" i="253" s="1"/>
  <c r="D15" i="254" s="1"/>
  <c r="F64" i="253"/>
  <c r="D64" i="253"/>
  <c r="F65" i="253"/>
  <c r="F48" i="253"/>
  <c r="F31" i="253"/>
  <c r="D65" i="253"/>
  <c r="D48" i="253"/>
  <c r="D31" i="253"/>
  <c r="F15" i="253"/>
  <c r="D61" i="252"/>
  <c r="T15" i="252" s="1"/>
  <c r="D45" i="252"/>
  <c r="T14" i="252" s="1"/>
  <c r="O14" i="234"/>
  <c r="E14" i="238"/>
  <c r="D14" i="238"/>
  <c r="O14" i="235"/>
  <c r="T23" i="251" s="1"/>
  <c r="F39" i="238"/>
  <c r="L13" i="238" s="1"/>
  <c r="E39" i="238"/>
  <c r="K13" i="238" s="1"/>
  <c r="D39" i="238"/>
  <c r="J13" i="238" s="1"/>
  <c r="F37" i="238"/>
  <c r="E37" i="238"/>
  <c r="D37" i="238"/>
  <c r="O12" i="234"/>
  <c r="E12" i="238"/>
  <c r="D29" i="252"/>
  <c r="T13" i="252" s="1"/>
  <c r="O12" i="235"/>
  <c r="T21" i="251" s="1"/>
  <c r="D12" i="238"/>
  <c r="O14" i="236"/>
  <c r="V23" i="251" s="1"/>
  <c r="F14" i="238"/>
  <c r="D41" i="249"/>
  <c r="D39" i="249"/>
  <c r="J14" i="249"/>
  <c r="F70" i="253" l="1"/>
  <c r="D70" i="253"/>
  <c r="D51" i="254"/>
  <c r="D53" i="254"/>
  <c r="J15" i="254" s="1"/>
  <c r="F26" i="238"/>
  <c r="L12" i="238" s="1"/>
  <c r="E26" i="238"/>
  <c r="K12" i="238" s="1"/>
  <c r="D26" i="238"/>
  <c r="J12" i="238" s="1"/>
  <c r="F24" i="238"/>
  <c r="E24" i="238"/>
  <c r="D24" i="238"/>
  <c r="U21" i="251"/>
  <c r="T20" i="252" s="1"/>
  <c r="D52" i="238"/>
  <c r="J14" i="238" s="1"/>
  <c r="F50" i="238"/>
  <c r="D50" i="238"/>
  <c r="E50" i="238"/>
  <c r="F52" i="238"/>
  <c r="L14" i="238" s="1"/>
  <c r="E52" i="238"/>
  <c r="K14" i="238" s="1"/>
  <c r="U23" i="251"/>
  <c r="T22" i="252" s="1"/>
  <c r="D69" i="240" l="1"/>
  <c r="Z33" i="243"/>
  <c r="J42" i="250" l="1"/>
  <c r="J48" i="250"/>
  <c r="J40" i="250"/>
  <c r="D30" i="249"/>
  <c r="Q66" i="244"/>
  <c r="Q50" i="244"/>
  <c r="Y49" i="244"/>
  <c r="Q49" i="244"/>
  <c r="J49" i="244"/>
  <c r="D49" i="244"/>
  <c r="Q34" i="244"/>
  <c r="Y33" i="244"/>
  <c r="Q33" i="244"/>
  <c r="J33" i="244"/>
  <c r="D33" i="244"/>
  <c r="D66" i="240"/>
  <c r="D50" i="240"/>
  <c r="Y49" i="240"/>
  <c r="Q49" i="240"/>
  <c r="J49" i="240"/>
  <c r="D49" i="240"/>
  <c r="D34" i="240"/>
  <c r="Y33" i="240"/>
  <c r="Q33" i="240"/>
  <c r="J33" i="240"/>
  <c r="D33" i="240"/>
  <c r="R66" i="243"/>
  <c r="R50" i="243"/>
  <c r="Z49" i="243"/>
  <c r="R49" i="243"/>
  <c r="J49" i="243"/>
  <c r="D49" i="243"/>
  <c r="R34" i="243"/>
  <c r="R33" i="243"/>
  <c r="J33" i="243"/>
  <c r="D33" i="243"/>
  <c r="E22" i="239" l="1"/>
  <c r="J12" i="251" l="1"/>
  <c r="K12" i="251"/>
  <c r="L12" i="251"/>
  <c r="M12" i="251"/>
  <c r="N12" i="251"/>
  <c r="O12" i="251"/>
  <c r="P12" i="251"/>
  <c r="I19" i="251"/>
  <c r="J19" i="251"/>
  <c r="K19" i="251"/>
  <c r="P19" i="251"/>
  <c r="I20" i="251"/>
  <c r="J20" i="251"/>
  <c r="K20" i="251"/>
  <c r="P20" i="251"/>
  <c r="B12" i="251"/>
  <c r="C12" i="251"/>
  <c r="D12" i="251"/>
  <c r="E12" i="251"/>
  <c r="F12" i="251"/>
  <c r="G12" i="251"/>
  <c r="B14" i="251"/>
  <c r="C14" i="251"/>
  <c r="D14" i="251"/>
  <c r="E14" i="251"/>
  <c r="F14" i="251"/>
  <c r="B15" i="251"/>
  <c r="C15" i="251"/>
  <c r="D15" i="251"/>
  <c r="E15" i="251"/>
  <c r="F15" i="251"/>
  <c r="J50" i="250"/>
  <c r="H48" i="250"/>
  <c r="I46" i="250"/>
  <c r="H40" i="250"/>
  <c r="I38" i="250"/>
  <c r="B1" i="251"/>
  <c r="B1" i="250"/>
  <c r="B1" i="249"/>
  <c r="J15" i="249"/>
  <c r="I15" i="249"/>
  <c r="I14" i="249"/>
  <c r="B39" i="249"/>
  <c r="B30" i="249"/>
  <c r="D32" i="249"/>
  <c r="N14" i="248"/>
  <c r="O14" i="248" s="1"/>
  <c r="N13" i="248"/>
  <c r="O13" i="248" s="1"/>
  <c r="N12" i="248"/>
  <c r="O12" i="248" s="1"/>
  <c r="J16" i="248"/>
  <c r="K16" i="248" s="1"/>
  <c r="J15" i="248"/>
  <c r="K15" i="248" s="1"/>
  <c r="J14" i="248"/>
  <c r="K14" i="248" s="1"/>
  <c r="J13" i="248"/>
  <c r="K13" i="248" s="1"/>
  <c r="J12" i="248"/>
  <c r="K12" i="248" s="1"/>
  <c r="I58" i="248"/>
  <c r="I57" i="248"/>
  <c r="I54" i="248"/>
  <c r="H52" i="248"/>
  <c r="I45" i="248"/>
  <c r="I44" i="248"/>
  <c r="I47" i="248" s="1"/>
  <c r="I41" i="248"/>
  <c r="H39" i="248"/>
  <c r="I31" i="248"/>
  <c r="H26" i="248"/>
  <c r="I32" i="248"/>
  <c r="I28" i="248"/>
  <c r="D84" i="248"/>
  <c r="D83" i="248"/>
  <c r="D86" i="248" s="1"/>
  <c r="D80" i="248"/>
  <c r="C78" i="248"/>
  <c r="D71" i="248"/>
  <c r="D70" i="248"/>
  <c r="D67" i="248"/>
  <c r="C65" i="248"/>
  <c r="D58" i="248"/>
  <c r="D57" i="248"/>
  <c r="D60" i="248" s="1"/>
  <c r="D54" i="248"/>
  <c r="C52" i="248"/>
  <c r="C39" i="248"/>
  <c r="C26" i="248"/>
  <c r="D45" i="248"/>
  <c r="D44" i="248"/>
  <c r="D31" i="248"/>
  <c r="D41" i="248"/>
  <c r="D28" i="248"/>
  <c r="D32" i="248"/>
  <c r="D25" i="21"/>
  <c r="D24" i="21"/>
  <c r="D23" i="21"/>
  <c r="N19" i="251" l="1"/>
  <c r="N20" i="251"/>
  <c r="Q20" i="251"/>
  <c r="G15" i="251"/>
  <c r="G14" i="251"/>
  <c r="M20" i="251"/>
  <c r="M19" i="251"/>
  <c r="L20" i="251"/>
  <c r="L19" i="251"/>
  <c r="D73" i="248"/>
  <c r="I60" i="248"/>
  <c r="Q19" i="251"/>
  <c r="K17" i="248"/>
  <c r="P13" i="248" s="1"/>
  <c r="P14" i="248"/>
  <c r="O15" i="248"/>
  <c r="P12" i="248"/>
  <c r="D47" i="248"/>
  <c r="I34" i="248"/>
  <c r="D34" i="248"/>
  <c r="B1" i="248"/>
  <c r="D21" i="21"/>
  <c r="L13" i="248" l="1"/>
  <c r="L15" i="248"/>
  <c r="L14" i="248"/>
  <c r="T41" i="251"/>
  <c r="AD76" i="251"/>
  <c r="AD78" i="251" s="1"/>
  <c r="V15" i="251" s="1"/>
  <c r="AD73" i="251"/>
  <c r="AD60" i="251"/>
  <c r="AD57" i="251"/>
  <c r="AD44" i="251"/>
  <c r="G15" i="253" s="1"/>
  <c r="AD41" i="251"/>
  <c r="AD59" i="251"/>
  <c r="AE56" i="251"/>
  <c r="AD43" i="251"/>
  <c r="AE40" i="251"/>
  <c r="D59" i="251"/>
  <c r="E56" i="251"/>
  <c r="D43" i="251"/>
  <c r="D13" i="253" s="1"/>
  <c r="T60" i="251"/>
  <c r="E40" i="251"/>
  <c r="T73" i="251"/>
  <c r="T76" i="251"/>
  <c r="T44" i="251"/>
  <c r="G14" i="253" s="1"/>
  <c r="T57" i="251"/>
  <c r="U72" i="251"/>
  <c r="T75" i="251"/>
  <c r="T43" i="251"/>
  <c r="U56" i="251"/>
  <c r="T59" i="251"/>
  <c r="U40" i="251"/>
  <c r="O20" i="251"/>
  <c r="O19" i="251"/>
  <c r="L16" i="248"/>
  <c r="P15" i="248"/>
  <c r="L12" i="248"/>
  <c r="D65" i="247"/>
  <c r="E65" i="247"/>
  <c r="F65" i="247"/>
  <c r="G65" i="247"/>
  <c r="D55" i="247"/>
  <c r="E55" i="247"/>
  <c r="F55" i="247"/>
  <c r="G55" i="247"/>
  <c r="D56" i="247"/>
  <c r="E56" i="247"/>
  <c r="F56" i="247"/>
  <c r="G56" i="247"/>
  <c r="F73" i="247" s="1"/>
  <c r="D57" i="247"/>
  <c r="E57" i="247"/>
  <c r="F57" i="247"/>
  <c r="G57" i="247"/>
  <c r="D58" i="247"/>
  <c r="E58" i="247"/>
  <c r="F58" i="247"/>
  <c r="G58" i="247"/>
  <c r="F75" i="247" s="1"/>
  <c r="D59" i="247"/>
  <c r="E59" i="247"/>
  <c r="F59" i="247"/>
  <c r="G59" i="247"/>
  <c r="D60" i="247"/>
  <c r="E60" i="247"/>
  <c r="F60" i="247"/>
  <c r="G60" i="247"/>
  <c r="D61" i="247"/>
  <c r="E61" i="247"/>
  <c r="F61" i="247"/>
  <c r="G61" i="247"/>
  <c r="F78" i="247" s="1"/>
  <c r="D62" i="247"/>
  <c r="E62" i="247"/>
  <c r="F62" i="247"/>
  <c r="G62" i="247"/>
  <c r="F79" i="247" s="1"/>
  <c r="D63" i="247"/>
  <c r="E63" i="247"/>
  <c r="F63" i="247"/>
  <c r="G63" i="247"/>
  <c r="D64" i="247"/>
  <c r="E64" i="247"/>
  <c r="F64" i="247"/>
  <c r="G64" i="247"/>
  <c r="E54" i="247"/>
  <c r="F54" i="247"/>
  <c r="G54" i="247"/>
  <c r="D54" i="247"/>
  <c r="B1" i="247"/>
  <c r="B14" i="246"/>
  <c r="B13" i="246"/>
  <c r="B12" i="246"/>
  <c r="N11" i="246"/>
  <c r="M11" i="246"/>
  <c r="L11" i="246"/>
  <c r="K11" i="246"/>
  <c r="J11" i="246"/>
  <c r="I11" i="246"/>
  <c r="H11" i="246"/>
  <c r="G11" i="246"/>
  <c r="F11" i="246"/>
  <c r="E11" i="246"/>
  <c r="D11" i="246"/>
  <c r="C11" i="246"/>
  <c r="B1" i="246"/>
  <c r="B14" i="245"/>
  <c r="B13" i="245"/>
  <c r="B12" i="245"/>
  <c r="N11" i="245"/>
  <c r="M11" i="245"/>
  <c r="L11" i="245"/>
  <c r="K11" i="245"/>
  <c r="J11" i="245"/>
  <c r="I11" i="245"/>
  <c r="H11" i="245"/>
  <c r="G11" i="245"/>
  <c r="F11" i="245"/>
  <c r="E11" i="245"/>
  <c r="D11" i="245"/>
  <c r="C11" i="245"/>
  <c r="B1" i="245"/>
  <c r="B1" i="242"/>
  <c r="Y68" i="244"/>
  <c r="Y65" i="244"/>
  <c r="Q69" i="244"/>
  <c r="Q71" i="244"/>
  <c r="J65" i="244"/>
  <c r="J68" i="244"/>
  <c r="Y52" i="244"/>
  <c r="J52" i="244"/>
  <c r="Q53" i="244"/>
  <c r="Q52" i="244"/>
  <c r="D52" i="244"/>
  <c r="Y36" i="244"/>
  <c r="Q37" i="244"/>
  <c r="Q36" i="244"/>
  <c r="J36" i="244"/>
  <c r="D36" i="244"/>
  <c r="K11" i="242"/>
  <c r="L11" i="242"/>
  <c r="M11" i="242"/>
  <c r="N11" i="242"/>
  <c r="C11" i="242"/>
  <c r="D11" i="242"/>
  <c r="E11" i="242"/>
  <c r="F11" i="242"/>
  <c r="J24" i="244"/>
  <c r="H24" i="244"/>
  <c r="G24" i="244"/>
  <c r="J23" i="244"/>
  <c r="H23" i="244"/>
  <c r="G23" i="244"/>
  <c r="J22" i="244"/>
  <c r="H22" i="244"/>
  <c r="G22" i="244"/>
  <c r="J21" i="244"/>
  <c r="H21" i="244"/>
  <c r="G21" i="244"/>
  <c r="J20" i="244"/>
  <c r="H20" i="244"/>
  <c r="G20" i="244"/>
  <c r="J19" i="244"/>
  <c r="H19" i="244"/>
  <c r="G19" i="244"/>
  <c r="J18" i="244"/>
  <c r="H18" i="244"/>
  <c r="G18" i="244"/>
  <c r="J17" i="244"/>
  <c r="H17" i="244"/>
  <c r="G17" i="244"/>
  <c r="J16" i="244"/>
  <c r="H16" i="244"/>
  <c r="G16" i="244"/>
  <c r="J15" i="244"/>
  <c r="H15" i="244"/>
  <c r="G15" i="244"/>
  <c r="J14" i="244"/>
  <c r="H14" i="244"/>
  <c r="G14" i="244"/>
  <c r="J13" i="244"/>
  <c r="H13" i="244"/>
  <c r="G13" i="244"/>
  <c r="J12" i="244"/>
  <c r="H12" i="244"/>
  <c r="G12" i="244"/>
  <c r="B1" i="244"/>
  <c r="Z68" i="243"/>
  <c r="Z65" i="243"/>
  <c r="J68" i="243"/>
  <c r="J65" i="243"/>
  <c r="R37" i="243"/>
  <c r="R69" i="243"/>
  <c r="R71" i="243" s="1"/>
  <c r="Z52" i="243"/>
  <c r="R53" i="243"/>
  <c r="R52" i="243"/>
  <c r="J52" i="243"/>
  <c r="D52" i="243"/>
  <c r="Z36" i="243"/>
  <c r="R36" i="243"/>
  <c r="J36" i="243"/>
  <c r="D36" i="243"/>
  <c r="J24" i="243"/>
  <c r="H24" i="243"/>
  <c r="G24" i="243"/>
  <c r="J23" i="243"/>
  <c r="H23" i="243"/>
  <c r="G23" i="243"/>
  <c r="J22" i="243"/>
  <c r="H22" i="243"/>
  <c r="G22" i="243"/>
  <c r="J21" i="243"/>
  <c r="H21" i="243"/>
  <c r="G21" i="243"/>
  <c r="J20" i="243"/>
  <c r="H20" i="243"/>
  <c r="G20" i="243"/>
  <c r="J19" i="243"/>
  <c r="H19" i="243"/>
  <c r="G19" i="243"/>
  <c r="J18" i="243"/>
  <c r="H18" i="243"/>
  <c r="G18" i="243"/>
  <c r="J17" i="243"/>
  <c r="H17" i="243"/>
  <c r="G17" i="243"/>
  <c r="J16" i="243"/>
  <c r="H16" i="243"/>
  <c r="G16" i="243"/>
  <c r="J15" i="243"/>
  <c r="H15" i="243"/>
  <c r="G15" i="243"/>
  <c r="J14" i="243"/>
  <c r="H14" i="243"/>
  <c r="G14" i="243"/>
  <c r="J13" i="243"/>
  <c r="H13" i="243"/>
  <c r="G13" i="243"/>
  <c r="J12" i="243"/>
  <c r="H12" i="243"/>
  <c r="G12" i="243"/>
  <c r="B1" i="243"/>
  <c r="G11" i="242"/>
  <c r="H11" i="242"/>
  <c r="I11" i="242"/>
  <c r="J11" i="242"/>
  <c r="B12" i="242"/>
  <c r="B13" i="242"/>
  <c r="B14" i="242"/>
  <c r="Y68" i="240"/>
  <c r="Y65" i="240"/>
  <c r="Q65" i="240"/>
  <c r="J68" i="240"/>
  <c r="J65" i="240"/>
  <c r="D71" i="240"/>
  <c r="Y52" i="240"/>
  <c r="J52" i="240"/>
  <c r="D53" i="240"/>
  <c r="Q52" i="240"/>
  <c r="D52" i="240"/>
  <c r="J36" i="240"/>
  <c r="Q36" i="240"/>
  <c r="D37" i="240"/>
  <c r="D36" i="240"/>
  <c r="Y36" i="240"/>
  <c r="J24" i="240"/>
  <c r="H24" i="240"/>
  <c r="G24" i="240"/>
  <c r="J23" i="240"/>
  <c r="H23" i="240"/>
  <c r="G23" i="240"/>
  <c r="J22" i="240"/>
  <c r="H22" i="240"/>
  <c r="G22" i="240"/>
  <c r="J21" i="240"/>
  <c r="H21" i="240"/>
  <c r="G21" i="240"/>
  <c r="J20" i="240"/>
  <c r="H20" i="240"/>
  <c r="G20" i="240"/>
  <c r="J19" i="240"/>
  <c r="H19" i="240"/>
  <c r="G19" i="240"/>
  <c r="J18" i="240"/>
  <c r="H18" i="240"/>
  <c r="G18" i="240"/>
  <c r="J17" i="240"/>
  <c r="H17" i="240"/>
  <c r="G17" i="240"/>
  <c r="J16" i="240"/>
  <c r="H16" i="240"/>
  <c r="G16" i="240"/>
  <c r="J15" i="240"/>
  <c r="H15" i="240"/>
  <c r="G15" i="240"/>
  <c r="J14" i="240"/>
  <c r="H14" i="240"/>
  <c r="G14" i="240"/>
  <c r="J13" i="240"/>
  <c r="H13" i="240"/>
  <c r="G13" i="240"/>
  <c r="K13" i="240" s="1"/>
  <c r="J12" i="240"/>
  <c r="H12" i="240"/>
  <c r="G12" i="240"/>
  <c r="B1" i="240"/>
  <c r="D13" i="21"/>
  <c r="D19" i="21"/>
  <c r="D17" i="21"/>
  <c r="D18" i="21"/>
  <c r="D16" i="21"/>
  <c r="D14" i="21"/>
  <c r="D15" i="21"/>
  <c r="E82" i="247" l="1"/>
  <c r="E74" i="247"/>
  <c r="E72" i="247"/>
  <c r="K12" i="240"/>
  <c r="I12" i="240"/>
  <c r="I13" i="240"/>
  <c r="I14" i="240"/>
  <c r="K15" i="240"/>
  <c r="I15" i="240"/>
  <c r="K16" i="240"/>
  <c r="I16" i="240"/>
  <c r="I17" i="240"/>
  <c r="I18" i="240"/>
  <c r="K19" i="240"/>
  <c r="I19" i="240"/>
  <c r="I20" i="240"/>
  <c r="I21" i="240"/>
  <c r="I22" i="240"/>
  <c r="K23" i="240"/>
  <c r="I23" i="240"/>
  <c r="K24" i="240"/>
  <c r="I24" i="240"/>
  <c r="I12" i="243"/>
  <c r="I13" i="243"/>
  <c r="I14" i="243"/>
  <c r="I15" i="243"/>
  <c r="I16" i="243"/>
  <c r="I17" i="243"/>
  <c r="I18" i="243"/>
  <c r="I19" i="243"/>
  <c r="I20" i="243"/>
  <c r="I21" i="243"/>
  <c r="I22" i="243"/>
  <c r="I23" i="243"/>
  <c r="I24" i="243"/>
  <c r="I12" i="244"/>
  <c r="K13" i="244"/>
  <c r="I13" i="244"/>
  <c r="K14" i="244"/>
  <c r="I14" i="244"/>
  <c r="I15" i="244"/>
  <c r="K16" i="244"/>
  <c r="I16" i="244"/>
  <c r="K17" i="244"/>
  <c r="I17" i="244"/>
  <c r="K18" i="244"/>
  <c r="I18" i="244"/>
  <c r="I19" i="244"/>
  <c r="I20" i="244"/>
  <c r="K21" i="244"/>
  <c r="I21" i="244"/>
  <c r="K22" i="244"/>
  <c r="I22" i="244"/>
  <c r="I23" i="244"/>
  <c r="K24" i="244"/>
  <c r="I24" i="244"/>
  <c r="E14" i="253"/>
  <c r="T62" i="251"/>
  <c r="U14" i="251" s="1"/>
  <c r="D14" i="253"/>
  <c r="T46" i="251"/>
  <c r="U13" i="251" s="1"/>
  <c r="F14" i="253"/>
  <c r="T78" i="251"/>
  <c r="U15" i="251" s="1"/>
  <c r="F68" i="253"/>
  <c r="F51" i="253"/>
  <c r="F34" i="253"/>
  <c r="D68" i="253"/>
  <c r="D51" i="253"/>
  <c r="D34" i="253"/>
  <c r="H30" i="253"/>
  <c r="J13" i="253" s="1"/>
  <c r="D13" i="254" s="1"/>
  <c r="F30" i="253"/>
  <c r="D30" i="253"/>
  <c r="D62" i="251"/>
  <c r="T14" i="251" s="1"/>
  <c r="E13" i="253"/>
  <c r="D15" i="253"/>
  <c r="AD46" i="251"/>
  <c r="V13" i="251" s="1"/>
  <c r="E15" i="253"/>
  <c r="AD62" i="251"/>
  <c r="V14" i="251" s="1"/>
  <c r="F71" i="253"/>
  <c r="F54" i="253"/>
  <c r="F37" i="253"/>
  <c r="D71" i="253"/>
  <c r="D54" i="253"/>
  <c r="D37" i="253"/>
  <c r="H70" i="253"/>
  <c r="L15" i="253" s="1"/>
  <c r="F15" i="254" s="1"/>
  <c r="D46" i="251"/>
  <c r="T13" i="251" s="1"/>
  <c r="D78" i="251"/>
  <c r="T15" i="251" s="1"/>
  <c r="D81" i="247"/>
  <c r="F71" i="247"/>
  <c r="E71" i="247"/>
  <c r="D74" i="247"/>
  <c r="D72" i="247"/>
  <c r="D82" i="247"/>
  <c r="D79" i="247"/>
  <c r="F80" i="247"/>
  <c r="E80" i="247"/>
  <c r="D80" i="247"/>
  <c r="F81" i="247"/>
  <c r="F82" i="247"/>
  <c r="E81" i="247"/>
  <c r="E79" i="247"/>
  <c r="D78" i="247"/>
  <c r="E78" i="247"/>
  <c r="F77" i="247"/>
  <c r="E77" i="247"/>
  <c r="D77" i="247"/>
  <c r="F76" i="247"/>
  <c r="E76" i="247"/>
  <c r="D76" i="247"/>
  <c r="E75" i="247"/>
  <c r="D75" i="247"/>
  <c r="F74" i="247"/>
  <c r="F72" i="247"/>
  <c r="D71" i="247"/>
  <c r="K21" i="240"/>
  <c r="K22" i="243"/>
  <c r="R55" i="243"/>
  <c r="K19" i="244"/>
  <c r="K12" i="243"/>
  <c r="K20" i="243"/>
  <c r="K14" i="240"/>
  <c r="K22" i="240"/>
  <c r="K12" i="244"/>
  <c r="K20" i="244"/>
  <c r="K17" i="240"/>
  <c r="K15" i="244"/>
  <c r="K23" i="244"/>
  <c r="L17" i="248"/>
  <c r="K18" i="240"/>
  <c r="K20" i="240"/>
  <c r="D55" i="240"/>
  <c r="P13" i="240" s="1"/>
  <c r="K16" i="243"/>
  <c r="K21" i="243"/>
  <c r="Q55" i="244"/>
  <c r="D73" i="247"/>
  <c r="E73" i="247"/>
  <c r="R14" i="244"/>
  <c r="Q39" i="244"/>
  <c r="R12" i="244" s="1"/>
  <c r="R13" i="244"/>
  <c r="K15" i="243"/>
  <c r="K19" i="243"/>
  <c r="K24" i="243"/>
  <c r="K14" i="243"/>
  <c r="K18" i="243"/>
  <c r="K23" i="243"/>
  <c r="K13" i="243"/>
  <c r="K17" i="243"/>
  <c r="R14" i="243"/>
  <c r="R13" i="243"/>
  <c r="R39" i="243"/>
  <c r="R12" i="243" s="1"/>
  <c r="D39" i="240"/>
  <c r="P12" i="240" s="1"/>
  <c r="P14" i="240"/>
  <c r="F48" i="239"/>
  <c r="E48" i="239"/>
  <c r="D48" i="239"/>
  <c r="F35" i="239"/>
  <c r="E35" i="239"/>
  <c r="D35" i="239"/>
  <c r="F22" i="239"/>
  <c r="D22" i="239"/>
  <c r="I14" i="239"/>
  <c r="I13" i="239"/>
  <c r="I12" i="239"/>
  <c r="B1" i="239"/>
  <c r="D11" i="21"/>
  <c r="H53" i="253" l="1"/>
  <c r="L14" i="253" s="1"/>
  <c r="F14" i="254" s="1"/>
  <c r="F53" i="253"/>
  <c r="D53" i="253"/>
  <c r="H36" i="253"/>
  <c r="L13" i="253" s="1"/>
  <c r="F13" i="254" s="1"/>
  <c r="F36" i="253"/>
  <c r="D36" i="253"/>
  <c r="H47" i="253"/>
  <c r="J14" i="253" s="1"/>
  <c r="D14" i="254" s="1"/>
  <c r="F47" i="253"/>
  <c r="D47" i="253"/>
  <c r="D27" i="254"/>
  <c r="J13" i="254" s="1"/>
  <c r="D25" i="254"/>
  <c r="H67" i="253"/>
  <c r="K15" i="253" s="1"/>
  <c r="E15" i="254" s="1"/>
  <c r="F67" i="253"/>
  <c r="D67" i="253"/>
  <c r="H33" i="253"/>
  <c r="K13" i="253" s="1"/>
  <c r="E13" i="254" s="1"/>
  <c r="F33" i="253"/>
  <c r="D33" i="253"/>
  <c r="H50" i="253"/>
  <c r="K14" i="253" s="1"/>
  <c r="E14" i="254" s="1"/>
  <c r="F50" i="253"/>
  <c r="D50" i="253"/>
  <c r="Y66" i="244"/>
  <c r="Y50" i="244"/>
  <c r="Y69" i="244"/>
  <c r="Y71" i="244" s="1"/>
  <c r="S14" i="244" s="1"/>
  <c r="Y53" i="244"/>
  <c r="Y55" i="244" s="1"/>
  <c r="S13" i="244" s="1"/>
  <c r="Y37" i="244"/>
  <c r="Y39" i="244" s="1"/>
  <c r="S12" i="244" s="1"/>
  <c r="Y34" i="244"/>
  <c r="J69" i="244"/>
  <c r="J53" i="244"/>
  <c r="J66" i="244"/>
  <c r="J50" i="244"/>
  <c r="J37" i="244"/>
  <c r="J34" i="244"/>
  <c r="D34" i="244"/>
  <c r="D69" i="244"/>
  <c r="D71" i="244" s="1"/>
  <c r="P14" i="244" s="1"/>
  <c r="D53" i="244"/>
  <c r="D55" i="244" s="1"/>
  <c r="P13" i="244" s="1"/>
  <c r="D37" i="244"/>
  <c r="D39" i="244" s="1"/>
  <c r="P12" i="244" s="1"/>
  <c r="D66" i="244"/>
  <c r="D50" i="244"/>
  <c r="Z69" i="243"/>
  <c r="Z53" i="243"/>
  <c r="Z66" i="243"/>
  <c r="Z50" i="243"/>
  <c r="Z37" i="243"/>
  <c r="Z34" i="243"/>
  <c r="J69" i="243"/>
  <c r="J53" i="243"/>
  <c r="J66" i="243"/>
  <c r="J50" i="243"/>
  <c r="J37" i="243"/>
  <c r="J34" i="243"/>
  <c r="D66" i="243"/>
  <c r="D50" i="243"/>
  <c r="D34" i="243"/>
  <c r="D69" i="243"/>
  <c r="D71" i="243" s="1"/>
  <c r="P14" i="243" s="1"/>
  <c r="D53" i="243"/>
  <c r="D37" i="243"/>
  <c r="D39" i="243" s="1"/>
  <c r="P12" i="243" s="1"/>
  <c r="Y69" i="240"/>
  <c r="Y53" i="240"/>
  <c r="Y66" i="240"/>
  <c r="Y50" i="240"/>
  <c r="Y37" i="240"/>
  <c r="Y39" i="240" s="1"/>
  <c r="S12" i="240" s="1"/>
  <c r="Y34" i="240"/>
  <c r="Q69" i="240"/>
  <c r="Q71" i="240" s="1"/>
  <c r="R14" i="240" s="1"/>
  <c r="Q53" i="240"/>
  <c r="Q55" i="240" s="1"/>
  <c r="R13" i="240" s="1"/>
  <c r="I13" i="246" s="1"/>
  <c r="Q66" i="240"/>
  <c r="Q50" i="240"/>
  <c r="Q34" i="240"/>
  <c r="Q37" i="240"/>
  <c r="Q39" i="240" s="1"/>
  <c r="R12" i="240" s="1"/>
  <c r="I12" i="246" s="1"/>
  <c r="J66" i="240"/>
  <c r="J50" i="240"/>
  <c r="J34" i="240"/>
  <c r="J69" i="240"/>
  <c r="J53" i="240"/>
  <c r="J37" i="240"/>
  <c r="K14" i="247" a="1"/>
  <c r="K14" i="247" s="1"/>
  <c r="K22" i="247" s="1"/>
  <c r="K13" i="247" a="1"/>
  <c r="K13" i="247" s="1"/>
  <c r="K21" i="247" s="1"/>
  <c r="K12" i="247" a="1"/>
  <c r="N14" i="242"/>
  <c r="N14" i="245"/>
  <c r="N14" i="246"/>
  <c r="K12" i="242"/>
  <c r="K12" i="246"/>
  <c r="K12" i="245"/>
  <c r="G14" i="245"/>
  <c r="G14" i="246"/>
  <c r="G14" i="242"/>
  <c r="E12" i="242"/>
  <c r="E12" i="245"/>
  <c r="E12" i="246"/>
  <c r="M14" i="242"/>
  <c r="M14" i="245"/>
  <c r="M14" i="246"/>
  <c r="I13" i="245"/>
  <c r="I13" i="242"/>
  <c r="J39" i="244"/>
  <c r="Q12" i="244" s="1"/>
  <c r="J71" i="244"/>
  <c r="Q14" i="244" s="1"/>
  <c r="J55" i="244"/>
  <c r="Q13" i="244" s="1"/>
  <c r="K13" i="242"/>
  <c r="K13" i="245"/>
  <c r="K13" i="246"/>
  <c r="M12" i="242"/>
  <c r="M12" i="245"/>
  <c r="M12" i="246"/>
  <c r="G12" i="242"/>
  <c r="G12" i="245"/>
  <c r="G12" i="246"/>
  <c r="E13" i="246"/>
  <c r="E13" i="242"/>
  <c r="E13" i="245"/>
  <c r="N12" i="242"/>
  <c r="N12" i="245"/>
  <c r="N12" i="246"/>
  <c r="K14" i="242"/>
  <c r="K14" i="245"/>
  <c r="K14" i="246"/>
  <c r="E14" i="245"/>
  <c r="E14" i="242"/>
  <c r="E14" i="246"/>
  <c r="N13" i="242"/>
  <c r="N13" i="246"/>
  <c r="N13" i="245"/>
  <c r="I14" i="246"/>
  <c r="I14" i="242"/>
  <c r="I14" i="245"/>
  <c r="I12" i="245"/>
  <c r="I12" i="242"/>
  <c r="M13" i="242"/>
  <c r="M13" i="246"/>
  <c r="M13" i="245"/>
  <c r="G13" i="242"/>
  <c r="G13" i="245"/>
  <c r="G13" i="246"/>
  <c r="D55" i="243"/>
  <c r="P13" i="243" s="1"/>
  <c r="Z55" i="243"/>
  <c r="S13" i="243" s="1"/>
  <c r="Z71" i="243"/>
  <c r="S14" i="243" s="1"/>
  <c r="Z39" i="243"/>
  <c r="S12" i="243" s="1"/>
  <c r="Y71" i="240"/>
  <c r="S14" i="240" s="1"/>
  <c r="Y55" i="240"/>
  <c r="S13" i="240" s="1"/>
  <c r="J71" i="243"/>
  <c r="Q14" i="243" s="1"/>
  <c r="J39" i="243"/>
  <c r="Q12" i="243" s="1"/>
  <c r="J55" i="243"/>
  <c r="Q13" i="243" s="1"/>
  <c r="J39" i="240"/>
  <c r="Q12" i="240" s="1"/>
  <c r="J71" i="240"/>
  <c r="Q14" i="240" s="1"/>
  <c r="J55" i="240"/>
  <c r="Q13" i="240" s="1"/>
  <c r="F27" i="254" l="1"/>
  <c r="L13" i="254" s="1"/>
  <c r="F25" i="254"/>
  <c r="E25" i="254"/>
  <c r="E27" i="254"/>
  <c r="K13" i="254" s="1"/>
  <c r="F53" i="254"/>
  <c r="L15" i="254" s="1"/>
  <c r="E51" i="254"/>
  <c r="F51" i="254"/>
  <c r="E53" i="254"/>
  <c r="K15" i="254" s="1"/>
  <c r="F40" i="254"/>
  <c r="L14" i="254" s="1"/>
  <c r="E38" i="254"/>
  <c r="D38" i="254"/>
  <c r="F38" i="254"/>
  <c r="D40" i="254"/>
  <c r="J14" i="254" s="1"/>
  <c r="E40" i="254"/>
  <c r="K14" i="254" s="1"/>
  <c r="R14" i="247"/>
  <c r="Q14" i="247"/>
  <c r="M14" i="247"/>
  <c r="T14" i="247"/>
  <c r="P14" i="247"/>
  <c r="N14" i="247"/>
  <c r="S14" i="247"/>
  <c r="O14" i="247"/>
  <c r="V14" i="247"/>
  <c r="U14" i="247"/>
  <c r="L14" i="247"/>
  <c r="L22" i="247" s="1"/>
  <c r="M22" i="247" s="1"/>
  <c r="V13" i="247"/>
  <c r="T13" i="247"/>
  <c r="O13" i="247"/>
  <c r="N13" i="247"/>
  <c r="P13" i="247"/>
  <c r="M13" i="247"/>
  <c r="S13" i="247"/>
  <c r="Q13" i="247"/>
  <c r="L13" i="247"/>
  <c r="L21" i="247" s="1"/>
  <c r="U13" i="247"/>
  <c r="R13" i="247"/>
  <c r="K12" i="247"/>
  <c r="K20" i="247" s="1"/>
  <c r="Q12" i="247"/>
  <c r="M12" i="247"/>
  <c r="L12" i="247"/>
  <c r="P12" i="247"/>
  <c r="O12" i="247"/>
  <c r="S12" i="247"/>
  <c r="V12" i="247"/>
  <c r="U12" i="247"/>
  <c r="T12" i="247"/>
  <c r="R12" i="247"/>
  <c r="N12" i="247"/>
  <c r="J12" i="246"/>
  <c r="J12" i="245"/>
  <c r="J12" i="242"/>
  <c r="C12" i="246"/>
  <c r="C12" i="242"/>
  <c r="C12" i="245"/>
  <c r="F14" i="245"/>
  <c r="F14" i="246"/>
  <c r="F14" i="242"/>
  <c r="L12" i="242"/>
  <c r="L12" i="245"/>
  <c r="L12" i="246"/>
  <c r="D13" i="245"/>
  <c r="D13" i="246"/>
  <c r="D13" i="242"/>
  <c r="J13" i="242"/>
  <c r="J13" i="245"/>
  <c r="J13" i="246"/>
  <c r="F12" i="239"/>
  <c r="D12" i="242"/>
  <c r="D12" i="245"/>
  <c r="D12" i="246"/>
  <c r="J14" i="242"/>
  <c r="J14" i="245"/>
  <c r="J14" i="246"/>
  <c r="F13" i="246"/>
  <c r="F13" i="242"/>
  <c r="F13" i="245"/>
  <c r="L13" i="242"/>
  <c r="L13" i="245"/>
  <c r="L13" i="246"/>
  <c r="H13" i="242"/>
  <c r="N35" i="242" s="1"/>
  <c r="H13" i="245"/>
  <c r="H13" i="246"/>
  <c r="H14" i="246"/>
  <c r="H14" i="242"/>
  <c r="H14" i="245"/>
  <c r="D14" i="242"/>
  <c r="D14" i="245"/>
  <c r="D14" i="246"/>
  <c r="C13" i="245"/>
  <c r="C13" i="246"/>
  <c r="C13" i="242"/>
  <c r="N33" i="242"/>
  <c r="H12" i="245"/>
  <c r="H12" i="246"/>
  <c r="H12" i="242"/>
  <c r="C14" i="242"/>
  <c r="C14" i="245"/>
  <c r="C14" i="246"/>
  <c r="F12" i="242"/>
  <c r="F12" i="245"/>
  <c r="F12" i="246"/>
  <c r="L14" i="242"/>
  <c r="L14" i="245"/>
  <c r="L14" i="246"/>
  <c r="V46" i="242" l="1"/>
  <c r="S14" i="242" s="1"/>
  <c r="N24" i="242"/>
  <c r="R12" i="242" s="1"/>
  <c r="N46" i="242"/>
  <c r="R14" i="242" s="1"/>
  <c r="V33" i="242"/>
  <c r="V35" i="242"/>
  <c r="V24" i="242"/>
  <c r="S12" i="242" s="1"/>
  <c r="D24" i="245"/>
  <c r="D24" i="242"/>
  <c r="D46" i="242"/>
  <c r="D35" i="242"/>
  <c r="D35" i="246"/>
  <c r="D35" i="245"/>
  <c r="N22" i="247"/>
  <c r="O22" i="247" s="1"/>
  <c r="P22" i="247" s="1"/>
  <c r="Q22" i="247" s="1"/>
  <c r="R22" i="247" s="1"/>
  <c r="S22" i="247" s="1"/>
  <c r="T22" i="247" s="1"/>
  <c r="U22" i="247" s="1"/>
  <c r="V22" i="247" s="1"/>
  <c r="M21" i="247"/>
  <c r="N21" i="247" s="1"/>
  <c r="O21" i="247" s="1"/>
  <c r="P21" i="247" s="1"/>
  <c r="Q21" i="247" s="1"/>
  <c r="R21" i="247" s="1"/>
  <c r="S21" i="247" s="1"/>
  <c r="T21" i="247" s="1"/>
  <c r="U21" i="247" s="1"/>
  <c r="V21" i="247" s="1"/>
  <c r="L20" i="247"/>
  <c r="M20" i="247" s="1"/>
  <c r="N20" i="247" s="1"/>
  <c r="O20" i="247" s="1"/>
  <c r="P20" i="247" s="1"/>
  <c r="Q20" i="247" s="1"/>
  <c r="R20" i="247" s="1"/>
  <c r="S20" i="247" s="1"/>
  <c r="T20" i="247" s="1"/>
  <c r="U20" i="247" s="1"/>
  <c r="V20" i="247" s="1"/>
  <c r="V22" i="242"/>
  <c r="V44" i="242"/>
  <c r="N44" i="242"/>
  <c r="R13" i="242"/>
  <c r="F14" i="239"/>
  <c r="N22" i="242"/>
  <c r="F13" i="239"/>
  <c r="D24" i="246"/>
  <c r="Q12" i="246" s="1"/>
  <c r="D22" i="246"/>
  <c r="D46" i="246"/>
  <c r="Q14" i="246" s="1"/>
  <c r="D44" i="246"/>
  <c r="D46" i="245"/>
  <c r="Q14" i="245" s="1"/>
  <c r="D44" i="245"/>
  <c r="D44" i="242"/>
  <c r="Q14" i="242"/>
  <c r="Q13" i="242"/>
  <c r="D33" i="242"/>
  <c r="D33" i="246"/>
  <c r="Q13" i="246"/>
  <c r="S13" i="242"/>
  <c r="D22" i="245"/>
  <c r="Q12" i="245"/>
  <c r="Q13" i="245"/>
  <c r="D33" i="245"/>
  <c r="D22" i="242"/>
  <c r="Q12" i="242"/>
  <c r="D14" i="239" l="1"/>
  <c r="D50" i="239" s="1"/>
  <c r="D13" i="239"/>
  <c r="D39" i="239" s="1"/>
  <c r="J13" i="239" s="1"/>
  <c r="D12" i="239"/>
  <c r="D52" i="239" l="1"/>
  <c r="J14" i="239" s="1"/>
  <c r="D24" i="239"/>
  <c r="D37" i="239"/>
  <c r="E14" i="239"/>
  <c r="E12" i="239"/>
  <c r="E24" i="239" s="1"/>
  <c r="E13" i="239"/>
  <c r="F37" i="239" s="1"/>
  <c r="D26" i="239"/>
  <c r="J12" i="239" s="1"/>
  <c r="E37" i="239" l="1"/>
  <c r="F24" i="239"/>
  <c r="F50" i="239"/>
  <c r="E50" i="239"/>
  <c r="F26" i="239"/>
  <c r="L12" i="239" s="1"/>
  <c r="E26" i="239"/>
  <c r="K12" i="239" s="1"/>
  <c r="E39" i="239"/>
  <c r="K13" i="239" s="1"/>
  <c r="F39" i="239"/>
  <c r="L13" i="239" s="1"/>
  <c r="F52" i="239"/>
  <c r="L14" i="239" s="1"/>
  <c r="E52" i="239"/>
  <c r="K14" i="239" s="1"/>
</calcChain>
</file>

<file path=xl/sharedStrings.xml><?xml version="1.0" encoding="utf-8"?>
<sst xmlns="http://schemas.openxmlformats.org/spreadsheetml/2006/main" count="1652" uniqueCount="365">
  <si>
    <t>INREV Index Calculation Guide</t>
  </si>
  <si>
    <r>
      <rPr>
        <b/>
        <sz val="10"/>
        <rFont val="Arial"/>
        <family val="2"/>
        <scheme val="minor"/>
      </rPr>
      <t xml:space="preserve">The Index Calculation Guide Excel workbook is a supplement to the </t>
    </r>
    <r>
      <rPr>
        <b/>
        <u/>
        <sz val="10"/>
        <color rgb="FF59CBE8"/>
        <rFont val="Arial"/>
        <family val="2"/>
        <scheme val="minor"/>
      </rPr>
      <t>INREV Index Guide 2019</t>
    </r>
    <r>
      <rPr>
        <b/>
        <u/>
        <sz val="10"/>
        <rFont val="Arial"/>
        <family val="2"/>
        <scheme val="minor"/>
      </rPr>
      <t xml:space="preserve"> and provides examples on how to calculate performance</t>
    </r>
  </si>
  <si>
    <t>The first INREV index was launched in 2005. 
The suite of indices has grown to include 12 index publications:</t>
  </si>
  <si>
    <r>
      <rPr>
        <sz val="9"/>
        <color rgb="FF59CBE8"/>
        <rFont val="Arial"/>
        <family val="2"/>
        <scheme val="minor"/>
      </rPr>
      <t xml:space="preserve">• </t>
    </r>
    <r>
      <rPr>
        <u/>
        <sz val="9"/>
        <color rgb="FF59CBE8"/>
        <rFont val="Arial"/>
        <family val="2"/>
        <scheme val="minor"/>
      </rPr>
      <t>INREV Annual Index</t>
    </r>
  </si>
  <si>
    <r>
      <rPr>
        <sz val="9"/>
        <color rgb="FF59CBE8"/>
        <rFont val="Arial"/>
        <family val="2"/>
        <scheme val="minor"/>
      </rPr>
      <t xml:space="preserve">• </t>
    </r>
    <r>
      <rPr>
        <u/>
        <sz val="9"/>
        <color rgb="FF59CBE8"/>
        <rFont val="Arial"/>
        <family val="2"/>
        <scheme val="minor"/>
      </rPr>
      <t>INREV Quarterly Index</t>
    </r>
  </si>
  <si>
    <r>
      <rPr>
        <sz val="9"/>
        <color rgb="FF59CBE8"/>
        <rFont val="Arial"/>
        <family val="2"/>
        <scheme val="minor"/>
      </rPr>
      <t xml:space="preserve">• </t>
    </r>
    <r>
      <rPr>
        <u/>
        <sz val="9"/>
        <color rgb="FF59CBE8"/>
        <rFont val="Arial"/>
        <family val="2"/>
        <scheme val="minor"/>
      </rPr>
      <t>GREFI – Global Real Estate Fund Index</t>
    </r>
  </si>
  <si>
    <r>
      <rPr>
        <sz val="9"/>
        <color rgb="FF59CBE8"/>
        <rFont val="Arial"/>
        <family val="2"/>
        <scheme val="minor"/>
      </rPr>
      <t xml:space="preserve">• </t>
    </r>
    <r>
      <rPr>
        <u/>
        <sz val="9"/>
        <color rgb="FF59CBE8"/>
        <rFont val="Arial"/>
        <family val="2"/>
        <scheme val="minor"/>
      </rPr>
      <t>Global Investor Index</t>
    </r>
  </si>
  <si>
    <r>
      <rPr>
        <sz val="9"/>
        <color rgb="FF59CBE8"/>
        <rFont val="Arial"/>
        <family val="2"/>
        <scheme val="minor"/>
      </rPr>
      <t xml:space="preserve">• </t>
    </r>
    <r>
      <rPr>
        <u/>
        <sz val="9"/>
        <color rgb="FF59CBE8"/>
        <rFont val="Arial"/>
        <family val="2"/>
        <scheme val="minor"/>
      </rPr>
      <t>German Vehicles Annual Index</t>
    </r>
  </si>
  <si>
    <r>
      <rPr>
        <sz val="9"/>
        <color rgb="FF59CBE8"/>
        <rFont val="Arial"/>
        <family val="2"/>
        <scheme val="minor"/>
      </rPr>
      <t xml:space="preserve">• </t>
    </r>
    <r>
      <rPr>
        <u/>
        <sz val="9"/>
        <color rgb="FF59CBE8"/>
        <rFont val="Arial"/>
        <family val="2"/>
        <scheme val="minor"/>
      </rPr>
      <t>German Vehicles Quarterly Index</t>
    </r>
  </si>
  <si>
    <r>
      <rPr>
        <sz val="9"/>
        <color rgb="FF59CBE8"/>
        <rFont val="Arial"/>
        <family val="2"/>
        <scheme val="minor"/>
      </rPr>
      <t xml:space="preserve">• </t>
    </r>
    <r>
      <rPr>
        <u/>
        <sz val="9"/>
        <color rgb="FF59CBE8"/>
        <rFont val="Arial"/>
        <family val="2"/>
        <scheme val="minor"/>
      </rPr>
      <t>IRR Annual Index</t>
    </r>
  </si>
  <si>
    <r>
      <rPr>
        <sz val="9"/>
        <color rgb="FF59CBE8"/>
        <rFont val="Arial"/>
        <family val="2"/>
        <scheme val="minor"/>
      </rPr>
      <t xml:space="preserve">• </t>
    </r>
    <r>
      <rPr>
        <u/>
        <sz val="9"/>
        <color rgb="FF59CBE8"/>
        <rFont val="Arial"/>
        <family val="2"/>
        <scheme val="minor"/>
      </rPr>
      <t>IRR Quarterly Index</t>
    </r>
  </si>
  <si>
    <r>
      <rPr>
        <sz val="9"/>
        <color rgb="FF59CBE8"/>
        <rFont val="Arial"/>
        <family val="2"/>
        <scheme val="minor"/>
      </rPr>
      <t xml:space="preserve">• </t>
    </r>
    <r>
      <rPr>
        <u/>
        <sz val="9"/>
        <color rgb="FF59CBE8"/>
        <rFont val="Arial"/>
        <family val="2"/>
        <scheme val="minor"/>
      </rPr>
      <t>European ODCE Annual Index</t>
    </r>
  </si>
  <si>
    <r>
      <rPr>
        <sz val="9"/>
        <color rgb="FF59CBE8"/>
        <rFont val="Arial"/>
        <family val="2"/>
        <scheme val="minor"/>
      </rPr>
      <t xml:space="preserve">• </t>
    </r>
    <r>
      <rPr>
        <u/>
        <sz val="9"/>
        <color rgb="FF59CBE8"/>
        <rFont val="Arial"/>
        <family val="2"/>
        <scheme val="minor"/>
      </rPr>
      <t>European ODCE Quarterly Index</t>
    </r>
  </si>
  <si>
    <r>
      <rPr>
        <sz val="9"/>
        <color rgb="FF59CBE8"/>
        <rFont val="Arial"/>
        <family val="2"/>
        <scheme val="minor"/>
      </rPr>
      <t xml:space="preserve">• </t>
    </r>
    <r>
      <rPr>
        <u/>
        <sz val="9"/>
        <color rgb="FF59CBE8"/>
        <rFont val="Arial"/>
        <family val="2"/>
        <scheme val="minor"/>
      </rPr>
      <t>Asset Level Annual Index</t>
    </r>
  </si>
  <si>
    <r>
      <rPr>
        <sz val="9"/>
        <color rgb="FF59CBE8"/>
        <rFont val="Arial"/>
        <family val="2"/>
        <scheme val="minor"/>
      </rPr>
      <t xml:space="preserve">• </t>
    </r>
    <r>
      <rPr>
        <u/>
        <sz val="9"/>
        <color rgb="FF59CBE8"/>
        <rFont val="Arial"/>
        <family val="2"/>
        <scheme val="minor"/>
      </rPr>
      <t>Asset Level Quarterly Index</t>
    </r>
  </si>
  <si>
    <t xml:space="preserve">INREV does not use publicly available information, and both members and non-members of INREV can provide data for the Indices. </t>
  </si>
  <si>
    <t>INREV encourages data delivery via the Data Input Tool, where possible.</t>
  </si>
  <si>
    <t>INREV Research and Market Information team contact details</t>
  </si>
  <si>
    <t>Contact details</t>
  </si>
  <si>
    <t>INREV Research and Market Information team</t>
  </si>
  <si>
    <t>researchgroup@inrev.org</t>
  </si>
  <si>
    <t>Henri Vuong</t>
  </si>
  <si>
    <t>Director of Research &amp; Market Information</t>
  </si>
  <si>
    <t>henri.vuong@inrev.org</t>
  </si>
  <si>
    <t>Vitaliy Tonenchuk</t>
  </si>
  <si>
    <t>Senior Research &amp; Analytics Manager</t>
  </si>
  <si>
    <t>vitaliy.tonenchuk@inrev.org</t>
  </si>
  <si>
    <t>Edgar Orlovskis</t>
  </si>
  <si>
    <t>Research &amp; Analytics Manager</t>
  </si>
  <si>
    <t>edgar.orlovskis@inrev.org</t>
  </si>
  <si>
    <t>Connor van Leeuwen</t>
  </si>
  <si>
    <t>Research &amp; Analytics Analyst</t>
  </si>
  <si>
    <t>connor.vanleeuwen@inrev.org</t>
  </si>
  <si>
    <t>Ivaylo Stoyanov</t>
  </si>
  <si>
    <t>Research &amp; Data Analyst</t>
  </si>
  <si>
    <t>ivaylo.stoyanov@inrev.org</t>
  </si>
  <si>
    <t>Jose Monsalve</t>
  </si>
  <si>
    <t>jose.monsalve@inrev.org</t>
  </si>
  <si>
    <t>Oscar Fusco</t>
  </si>
  <si>
    <t>oscar.fusco@irnev.org</t>
  </si>
  <si>
    <t>Sheet name</t>
  </si>
  <si>
    <t>Sheet title</t>
  </si>
  <si>
    <t>Annual calculations</t>
  </si>
  <si>
    <t>Single year return 2010</t>
  </si>
  <si>
    <t>Single year return 2011</t>
  </si>
  <si>
    <t>Single year return 2012</t>
  </si>
  <si>
    <t>Multi year index figures</t>
  </si>
  <si>
    <t>Multi year two funds</t>
  </si>
  <si>
    <t>Multi year index two funds</t>
  </si>
  <si>
    <t>Quarterly calculations</t>
  </si>
  <si>
    <t>Quarterly return 2010</t>
  </si>
  <si>
    <t>Quarterly return 2011</t>
  </si>
  <si>
    <t>Quarterly return 2012</t>
  </si>
  <si>
    <t>Four quarters rolling return</t>
  </si>
  <si>
    <t>Three year annualised return</t>
  </si>
  <si>
    <t>Three year compounded return</t>
  </si>
  <si>
    <t>Quarterly multi year two funds</t>
  </si>
  <si>
    <t>Allocations</t>
  </si>
  <si>
    <t>Country and sector allocation</t>
  </si>
  <si>
    <t>Currency conversions</t>
  </si>
  <si>
    <t>Currency conversion - NAV</t>
  </si>
  <si>
    <t>Currency conversion - cashflows</t>
  </si>
  <si>
    <t>Currency conversion - returns</t>
  </si>
  <si>
    <t>Currency conversion - Multi year two funds</t>
  </si>
  <si>
    <t>Curr. conv. Multiyear two funds - calculation example</t>
  </si>
  <si>
    <t>Currency conversion - Multi year index two funds</t>
  </si>
  <si>
    <t>Curr. conv. Multiyear Index - calculation example</t>
  </si>
  <si>
    <t>Local currency conversion</t>
  </si>
  <si>
    <t>Back to Table of Contents</t>
  </si>
  <si>
    <t>Fund name</t>
  </si>
  <si>
    <t>INREV Fund 1</t>
  </si>
  <si>
    <t>Capital calls are referred to as contributions in the calculation formula</t>
  </si>
  <si>
    <t>Reporting currency</t>
  </si>
  <si>
    <t>GBP</t>
  </si>
  <si>
    <t>Valuation frequency</t>
  </si>
  <si>
    <t>Quarterly</t>
  </si>
  <si>
    <t>NAVs</t>
  </si>
  <si>
    <t>Cash flows</t>
  </si>
  <si>
    <t>Results</t>
  </si>
  <si>
    <t>Year</t>
  </si>
  <si>
    <t>Quarter</t>
  </si>
  <si>
    <t>NAV(GBP)</t>
  </si>
  <si>
    <t>Date</t>
  </si>
  <si>
    <t>Day in year</t>
  </si>
  <si>
    <t>Day in quarter</t>
  </si>
  <si>
    <t>Value</t>
  </si>
  <si>
    <t>Type of cashflow</t>
  </si>
  <si>
    <t>Legend</t>
  </si>
  <si>
    <t>Capital call 1</t>
  </si>
  <si>
    <t>Total return</t>
  </si>
  <si>
    <t>Capital call 2</t>
  </si>
  <si>
    <t>Capital growth</t>
  </si>
  <si>
    <t xml:space="preserve">NAVt </t>
  </si>
  <si>
    <t xml:space="preserve"> net asset value at time t (end of period)</t>
  </si>
  <si>
    <t>Capital call 3</t>
  </si>
  <si>
    <t>Distributed income return</t>
  </si>
  <si>
    <t xml:space="preserve">NAVt-1 </t>
  </si>
  <si>
    <t xml:space="preserve"> net asset value at time t-1 (beginning of period)</t>
  </si>
  <si>
    <t>Distribution 1</t>
  </si>
  <si>
    <t xml:space="preserve">TwdC </t>
  </si>
  <si>
    <t xml:space="preserve"> time weighted (daily) contributions over the period</t>
  </si>
  <si>
    <t>Distribution 2</t>
  </si>
  <si>
    <t xml:space="preserve">TwdD </t>
  </si>
  <si>
    <t xml:space="preserve"> time weighted (daily) distributions over the period</t>
  </si>
  <si>
    <t>Capital call 4</t>
  </si>
  <si>
    <t xml:space="preserve">TwdR </t>
  </si>
  <si>
    <t xml:space="preserve"> time weighted (daily) redemptions over the period</t>
  </si>
  <si>
    <t>Distribution 3</t>
  </si>
  <si>
    <t>Capital call 5</t>
  </si>
  <si>
    <t>Distribution 4</t>
  </si>
  <si>
    <r>
      <rPr>
        <sz val="10"/>
        <rFont val="Arial"/>
        <family val="2"/>
        <scheme val="minor"/>
      </rPr>
      <t xml:space="preserve">For more information about Performance Measurement visit the </t>
    </r>
    <r>
      <rPr>
        <u/>
        <sz val="10"/>
        <color rgb="FF59CBE8"/>
        <rFont val="Arial"/>
        <family val="2"/>
        <scheme val="minor"/>
      </rPr>
      <t>INREV Guidelines on Performance Measurement.</t>
    </r>
  </si>
  <si>
    <t>Redemption 1</t>
  </si>
  <si>
    <t>Distribution 5</t>
  </si>
  <si>
    <t>Capital call 6</t>
  </si>
  <si>
    <t>Distribution 6</t>
  </si>
  <si>
    <t>Exercise</t>
  </si>
  <si>
    <t>Calculate the annual total return for 2010 in the reporting currency GBP</t>
  </si>
  <si>
    <t>=</t>
  </si>
  <si>
    <t>NAV(t) - NAV(t-1) - contributions + redemptions + distributions</t>
  </si>
  <si>
    <t>NAV(t-1) + TwdC - TwdR - TwdD</t>
  </si>
  <si>
    <t>Calculate the annual capital growth for 2010 in the reporting currency GBP</t>
  </si>
  <si>
    <t>NAV(t) - NAV(t-1) - contributions + redemptions</t>
  </si>
  <si>
    <t>Calculate the annual distributed income return for 2010 in the reporting currency GBP</t>
  </si>
  <si>
    <t>Distributions</t>
  </si>
  <si>
    <t>Calculate the annual total return for 2011 in the reporting currency GBP</t>
  </si>
  <si>
    <t>Calculate the annual capital growth for 2011 in the reporting currency GBP</t>
  </si>
  <si>
    <t>Calculate the annual distributed income return for 2011 in the reporting currency GBP</t>
  </si>
  <si>
    <t>2012 is a Leap Year (366 days)</t>
  </si>
  <si>
    <t>Calculate the annual total return for 2012 in the reporting currency GBP</t>
  </si>
  <si>
    <t>Calculate the annual capital growth for 2012 in the reporting currency GBP</t>
  </si>
  <si>
    <t>Calculate the annual distributed income return for 2012 in the reporting currency GBP</t>
  </si>
  <si>
    <t>Returns</t>
  </si>
  <si>
    <t>Calculate the total return annual index assuming the Index starts at the beginning of 2010</t>
  </si>
  <si>
    <t>Calculate the distributed income return annual index assuming the Index starts at the beginning of 2010</t>
  </si>
  <si>
    <t>INREV Fund 2</t>
  </si>
  <si>
    <t xml:space="preserve">Fund 1 </t>
  </si>
  <si>
    <t>Total return numerator</t>
  </si>
  <si>
    <t>Capital growth numerator</t>
  </si>
  <si>
    <t>Distributed income return numerator</t>
  </si>
  <si>
    <t>Denominator</t>
  </si>
  <si>
    <t>Fund 2</t>
  </si>
  <si>
    <t>Calculate the  annual total return for the two funds combined</t>
  </si>
  <si>
    <t>Sum of total return numerator</t>
  </si>
  <si>
    <t>Sum of total return denominator</t>
  </si>
  <si>
    <t>2010 TR</t>
  </si>
  <si>
    <t>2011 TR</t>
  </si>
  <si>
    <t>2012 TR</t>
  </si>
  <si>
    <t>Calculate the  annual capital growth for the two funds combined</t>
  </si>
  <si>
    <t>Sum of Capital growth numerator</t>
  </si>
  <si>
    <t>Sum of Capital growth denominator</t>
  </si>
  <si>
    <t>2010 CG</t>
  </si>
  <si>
    <t>2011 CG</t>
  </si>
  <si>
    <t>2012 CG</t>
  </si>
  <si>
    <t>Calculate the  annual distributed income return for the two funds combined</t>
  </si>
  <si>
    <t>Sum of distributed income return numerator</t>
  </si>
  <si>
    <t>Sum of distributed income return denominator</t>
  </si>
  <si>
    <t>2010 dIR</t>
  </si>
  <si>
    <t>2011 dIR</t>
  </si>
  <si>
    <t>2012 dIR</t>
  </si>
  <si>
    <t>Calculate the capital growth annual index assuming the Index starts at the beginning of 2010</t>
  </si>
  <si>
    <t>Quarter n. of days</t>
  </si>
  <si>
    <t>Q1 2010</t>
  </si>
  <si>
    <t>Q2 2010</t>
  </si>
  <si>
    <t>Q3 2010</t>
  </si>
  <si>
    <t>Q4 2010</t>
  </si>
  <si>
    <t>Calculate the quarterly total return for Q1 2010 in the reporting currency GBP</t>
  </si>
  <si>
    <t>Calculate the quarterly total return for Q2 2010 in the reporting currency GBP</t>
  </si>
  <si>
    <t>Calculate the quarterly total return for Q3 2010 in the reporting currency GBP</t>
  </si>
  <si>
    <t>Calculate the quarterly total return for Q4 2010 in the reporting currency GBP</t>
  </si>
  <si>
    <t>Total return Q1</t>
  </si>
  <si>
    <t>Total return Q2</t>
  </si>
  <si>
    <t>Total return Q3</t>
  </si>
  <si>
    <t>Total return Q4</t>
  </si>
  <si>
    <t>Calculate the quarterly capital growth for Q1 2010 in the reporting currency GBP</t>
  </si>
  <si>
    <t>Calculate the quarterly capital growth for Q2 2010 in the reporting currency GBP</t>
  </si>
  <si>
    <t>Calculate the quarterly capital growth for Q3 2010 in the reporting currency GBP</t>
  </si>
  <si>
    <t>Calculate the quarterly capital growth for Q4 2010 in the reporting currency GBP</t>
  </si>
  <si>
    <r>
      <t>Capital growth</t>
    </r>
    <r>
      <rPr>
        <b/>
        <sz val="10"/>
        <color theme="1"/>
        <rFont val="Arial"/>
        <family val="2"/>
      </rPr>
      <t xml:space="preserve"> </t>
    </r>
    <r>
      <rPr>
        <sz val="10"/>
        <color theme="1"/>
        <rFont val="Arial"/>
        <family val="2"/>
      </rPr>
      <t>Q1</t>
    </r>
  </si>
  <si>
    <t>Capital growth Q2</t>
  </si>
  <si>
    <t>Capital growth Q3</t>
  </si>
  <si>
    <t>Capital growth Q4</t>
  </si>
  <si>
    <t>Calculate the quarterly distributed income return for Q1 2010 in the reporting currency GBP</t>
  </si>
  <si>
    <t>Calculate the quarterly distributed income return for Q2 2010 in the reporting currency GBP</t>
  </si>
  <si>
    <t>Calculate the quarterly distributed income return for Q3 2010 in the reporting currency GBP</t>
  </si>
  <si>
    <t>Calculate the quarterly distributed income return for Q4 2010 in the reporting currency GBP</t>
  </si>
  <si>
    <t>Distributed income return Q1</t>
  </si>
  <si>
    <t>Distributed income return Q2</t>
  </si>
  <si>
    <t>Distributed income return Q3</t>
  </si>
  <si>
    <t>Distributed income return Q4</t>
  </si>
  <si>
    <t>Q1 2011</t>
  </si>
  <si>
    <t>Q2 2011</t>
  </si>
  <si>
    <t>Q3 2011</t>
  </si>
  <si>
    <t>Q4 2011</t>
  </si>
  <si>
    <t>Calculate the quarterly total return for Q1 2011 in the reporting currency GBP</t>
  </si>
  <si>
    <t>Calculate the quarterly total return for Q2 2011 in the reporting currency GBP</t>
  </si>
  <si>
    <t>Calculate the quarterly total return for Q3 2011 in the reporting currency GBP</t>
  </si>
  <si>
    <t>Calculate the quarterly total return for Q4 2011 in the reporting currency GBP</t>
  </si>
  <si>
    <t>Calculate the quarterly capital growth for Q1 2011 in the reporting currency GBP</t>
  </si>
  <si>
    <t>Calculate the quarterly capital growth for Q2 2011 in the reporting currency GBP</t>
  </si>
  <si>
    <t>Calculate the quarterly capital growth for Q3 2011 in the reporting currency GBP</t>
  </si>
  <si>
    <t>Calculate the quarterly capital growth for Q4 2011 in the reporting currency GBP</t>
  </si>
  <si>
    <t>Calculate the quarterly distributed income return for Q1 2011 in the reporting currency GBP</t>
  </si>
  <si>
    <t>Calculate the quarterly distributed income return for Q2 2011 in the reporting currency GBP</t>
  </si>
  <si>
    <t>Calculate the quarterly distributed income return for Q3 2011 in the reporting currency GBP</t>
  </si>
  <si>
    <t>Calculate the quarterly distributed income return for Q4 2011 in the reporting currency GBP</t>
  </si>
  <si>
    <t>Q1 2012</t>
  </si>
  <si>
    <t>Q2 2012</t>
  </si>
  <si>
    <t>Q3 2012</t>
  </si>
  <si>
    <t>Q4 2012</t>
  </si>
  <si>
    <t>Calculate the quarterly total return for Q1 2012 in the reporting currency GBP</t>
  </si>
  <si>
    <t>Calculate the quarterly total return for Q2 2012 in the reporting currency GBP</t>
  </si>
  <si>
    <t>Calculate the quarterly total return for Q3 2012 in the reporting currency GBP</t>
  </si>
  <si>
    <t>Calculate the quarterly total return for Q4 2012 in the reporting currency GBP</t>
  </si>
  <si>
    <t>Calculate the quarterly capital growth for Q1 2012 in the reporting currency GBP</t>
  </si>
  <si>
    <t>Calculate the quarterly capital growth for Q2 2012 in the reporting currency GBP</t>
  </si>
  <si>
    <t>Calculate the quarterly capital growth for Q3 2012 in the reporting currency GBP</t>
  </si>
  <si>
    <t>Calculate the quarterly capital growth for Q4 2012 in the reporting currency GBP</t>
  </si>
  <si>
    <t>Calculate the quarterly distributed income return for Q1 2012 in the reporting currency GBP</t>
  </si>
  <si>
    <t>Calculate the quarterly distributed income return for Q2 2012 in the reporting currency GBP</t>
  </si>
  <si>
    <t>Calculate the quarterly distributed income return for Q3 2012 in the reporting currency GBP</t>
  </si>
  <si>
    <t>Calculate the quarterly distributed income return for Q4 2012 in the reporting currency GBP</t>
  </si>
  <si>
    <t>Q4 2009</t>
  </si>
  <si>
    <t>Calculate the annual total return for the two funds combined</t>
  </si>
  <si>
    <t>Calculate the annual capital growth for the two funds combined</t>
  </si>
  <si>
    <t>Calculate the annual distributed income return for the two funds combined</t>
  </si>
  <si>
    <t>Fund 1 + Fund 2 - sum of numerators and sum of denominators</t>
  </si>
  <si>
    <t>Fund 1 + Fund 2 - sum of numerators / sum of denominators</t>
  </si>
  <si>
    <t>Calculate the four quarters rolling return (yearly return) for 2010</t>
  </si>
  <si>
    <t>Calculate the four quarters rolling return (yearly return) for 2011</t>
  </si>
  <si>
    <t>Calculate the four quarters rolling return (yearly return) for 2012</t>
  </si>
  <si>
    <t>Total return 2010</t>
  </si>
  <si>
    <t>((1 + tr1) * (1 + tr2) * (1+ tr3) * (1+tr4)) -1</t>
  </si>
  <si>
    <t>Total return 2011</t>
  </si>
  <si>
    <t>Total return 2012</t>
  </si>
  <si>
    <t>Calculate the four quarters rolling capital growth for 2010</t>
  </si>
  <si>
    <t>Calculate the four quarters rolling capital growth for 2011</t>
  </si>
  <si>
    <t>Calculate the four quarters rolling capital growth for 2012</t>
  </si>
  <si>
    <t>Capital growth 2010</t>
  </si>
  <si>
    <t>((1 + cg1) * (1 + cg2) * (1+ cg3) * (1+cg4)) -1</t>
  </si>
  <si>
    <t>Capital growth 2011</t>
  </si>
  <si>
    <t>Capital growth 2012</t>
  </si>
  <si>
    <t>Calculate the four quarters rolling distributed income return for 2010</t>
  </si>
  <si>
    <t>Calculate the four quarters rolling distributed income return for 2011</t>
  </si>
  <si>
    <t>Calculate the four quarters rolling distributed income return for 2012</t>
  </si>
  <si>
    <t>Distributed income return 2010</t>
  </si>
  <si>
    <t>((1 + dir1) * (1 + dir2) * (1+ dir3) * (1+dir4)) -1</t>
  </si>
  <si>
    <t>Distributed income return 2011</t>
  </si>
  <si>
    <t>Distributed income return 2012</t>
  </si>
  <si>
    <t>3 yr annualised</t>
  </si>
  <si>
    <t>Calculate the three year annualised total return</t>
  </si>
  <si>
    <t>3 yr total return annualised</t>
  </si>
  <si>
    <t>(((1 + 2010tr1) * (1 + 2010tr2) * (1 + 2010tr3) * (1 + 2010tr4) * (1 + 2011tr1) * (1 + 2011tr2) * (1 + 2011tr3) * (1 + 2011tr4) * (1 + 2012tr1) * (1 + 2012tr2) * (1 + 2012tr3) * (1 + 2012tr4)) ^(1/3) -1)</t>
  </si>
  <si>
    <t>Calculate the three year annualised capital growth</t>
  </si>
  <si>
    <t>3 yr capital growth annualised</t>
  </si>
  <si>
    <t>(((1 + 2010cg1) * (1 + 2010cg2) * (1 + 2010cg3) * (1 + 2010cg4) * (1 + 2011cg1) * (1 + 2011cg2) * (1 + 2011cg3) * (1 + 2011cg4) * (1 + 2012cg1) * (1 + 2012cg2) * (1 + 2012cg3) * (1 + 2012cg4)) ^(1/3) -1)</t>
  </si>
  <si>
    <t>Calculate the three year annualised distributed income return</t>
  </si>
  <si>
    <t>3 yr distributed income return annualised</t>
  </si>
  <si>
    <t>(((1 + 2010dir1) * (1 + 2010dir2) * (1 + 2010dir3) * (1 + 2010dir4) * (1 + 2011dir1) * (1 + 2011dir2) * (1 + 2011dir3) * (1 + 2011dir4) * (1 + 2012dir1) * (1 + 2012dir2) * (1 + 2012dir3) * (1 + 2012dir4)) ^(1/3) -1)</t>
  </si>
  <si>
    <t>3 yr compounded</t>
  </si>
  <si>
    <t>Calculate the three year compounded total return</t>
  </si>
  <si>
    <t>3 yr total return compounded</t>
  </si>
  <si>
    <t>((1 + 2010tr1) * (1 + 2010tr2) * (1 + 2010tr3) * (1 + 2010tr4) * (1 + 2011tr1) * (1 + 2011tr2) * (1 + 2011tr3) * (1 + 2011tr4) * (1 + 2012tr1) * (1 + 2012tr2) * (1 + 2012tr3) * (1 + 2012tr4)) -1</t>
  </si>
  <si>
    <t>Calculate the three year compounded capital growth</t>
  </si>
  <si>
    <t>3 yr capital growth compounded</t>
  </si>
  <si>
    <t>((1 + 2010cg1) * (1 + 2010cg2) * (1 + 2010cg3) * (1 + 2010cg4) * (1 + 2011cg1) * (1 + 2011cg2) * (1 + 2011cg3) * (1 + 2011cg4) * (1 + 2012cg1) * (1 + 2012cg2) * (1 + 2012cg3) * (1 + 2012cg4)) ^(1/3) -1</t>
  </si>
  <si>
    <t>Calculate the three year compounded distributed income return</t>
  </si>
  <si>
    <t>3 yr distributed income return compounded</t>
  </si>
  <si>
    <t>((1 + 2010dir1) * (1 + 2010dir2) * (1 + 2010dir3) * (1 + 2010dir4) * (1 + 2011dir1) * (1 + 2011dir2) * (1 + 2011dir3) * (1 + 2011dir4) * (1 + 2012dir1) * (1 + 2012dir2) * (1 + 2012dir3) * (1 + 2012dir4)) ^(1/3) -1</t>
  </si>
  <si>
    <t>Sector</t>
  </si>
  <si>
    <t>Country</t>
  </si>
  <si>
    <t>% share</t>
  </si>
  <si>
    <t>GAV Fund</t>
  </si>
  <si>
    <t>GAV Allocation</t>
  </si>
  <si>
    <t>GAV per country</t>
  </si>
  <si>
    <t>Office</t>
  </si>
  <si>
    <t>Finland</t>
  </si>
  <si>
    <t>6.2</t>
  </si>
  <si>
    <t>Retail</t>
  </si>
  <si>
    <t>5.7</t>
  </si>
  <si>
    <t>Industrial / Logistics</t>
  </si>
  <si>
    <t>8.5</t>
  </si>
  <si>
    <t>France</t>
  </si>
  <si>
    <t>12.2</t>
  </si>
  <si>
    <t>Total Fund GAV</t>
  </si>
  <si>
    <t>15.5</t>
  </si>
  <si>
    <t>Belgium</t>
  </si>
  <si>
    <t>11.1</t>
  </si>
  <si>
    <t>Germany</t>
  </si>
  <si>
    <t>4.2</t>
  </si>
  <si>
    <t>11.3</t>
  </si>
  <si>
    <t>Netherlands</t>
  </si>
  <si>
    <t>6.8</t>
  </si>
  <si>
    <t>17.5</t>
  </si>
  <si>
    <t>Country allocation</t>
  </si>
  <si>
    <t>Sector allocation</t>
  </si>
  <si>
    <t>INREV Index returns are then reported in local currency, Euro, Sterling, US Dollar, Japanese Yen and Australian Dollar. 
Foreign exchange rates are supplied by an external company which offers forex trading and exchange rates services.
For the USD, JPY, GBP and AUD Index, the returns calculation is always performed with the currency conversion rate of the day of the NAV or cash flow.</t>
  </si>
  <si>
    <t>Fund's returns currency</t>
  </si>
  <si>
    <t>USD</t>
  </si>
  <si>
    <t xml:space="preserve">The fund reports in GBP to INREV, but the annual fund return of Fund 1 is calculated in USD. </t>
  </si>
  <si>
    <t>GBP/USD Currency Rate</t>
  </si>
  <si>
    <t>Value converted to USD</t>
  </si>
  <si>
    <t>NAV</t>
  </si>
  <si>
    <t>Results - in USD</t>
  </si>
  <si>
    <t>Results - in GBP</t>
  </si>
  <si>
    <r>
      <rPr>
        <sz val="10"/>
        <rFont val="Arial"/>
        <family val="2"/>
        <scheme val="minor"/>
      </rPr>
      <t xml:space="preserve">For more information about Performance Measurement visit the </t>
    </r>
    <r>
      <rPr>
        <u/>
        <sz val="10"/>
        <color theme="10"/>
        <rFont val="Arial"/>
        <family val="2"/>
        <scheme val="minor"/>
      </rPr>
      <t>INREV Guidelines on Performance Measurement.</t>
    </r>
  </si>
  <si>
    <t>In contrast to the reported currency return (in GBP), the USD return is affected by currency fluctuations. When converting all funds into USD, the numerators and denominators can be used to calculate a USD Index.
The logic presented here for the Annual Returns calculation also applies for the Quarterly Returns calculation.</t>
  </si>
  <si>
    <t>Calculate the annual total return for 2010 in USD</t>
  </si>
  <si>
    <t>Calculate the annual total return for 2011 in USD</t>
  </si>
  <si>
    <t>Calculate the annual total return for 2012 in USD</t>
  </si>
  <si>
    <t>Calculate the annual capital growth for 2010 in USD</t>
  </si>
  <si>
    <t>Calculate the annual capital growth for 2011 in USD</t>
  </si>
  <si>
    <t>Calculate the annual capital growth for 2012 in USD</t>
  </si>
  <si>
    <t>Calculate the annual distributed income return for 2010 in USD</t>
  </si>
  <si>
    <t>Calculate the annual distributed income return for 2011 in USD</t>
  </si>
  <si>
    <t>Calculate the annual distributed income return for 2012 in USD</t>
  </si>
  <si>
    <t>NAV (GBP)</t>
  </si>
  <si>
    <t>GBP/USD currency rate</t>
  </si>
  <si>
    <t>Current conversion rate at</t>
  </si>
  <si>
    <t>NAV converted to USD</t>
  </si>
  <si>
    <t>Convert NAV to USD</t>
  </si>
  <si>
    <t>SEK</t>
  </si>
  <si>
    <t>Total return numerator (in USD)</t>
  </si>
  <si>
    <t>Capital growth numerator  (in USD)</t>
  </si>
  <si>
    <t>Distributed income return numerator  (in USD)</t>
  </si>
  <si>
    <t>Denominator  (in USD)</t>
  </si>
  <si>
    <t>#</t>
  </si>
  <si>
    <t>Calculate the total return annual index (in USD) assuming the Index starts at the beginning of 2010</t>
  </si>
  <si>
    <t>Calculate the capital growth annual index (in USD) assuming the Index starts at the beginning of 2010</t>
  </si>
  <si>
    <t>Calculate the distributed income return annual index (in USD) assuming the Index starts at the beginning of 2010</t>
  </si>
  <si>
    <t>Local currency (Index)</t>
  </si>
  <si>
    <t>EUR</t>
  </si>
  <si>
    <t>Annual</t>
  </si>
  <si>
    <t xml:space="preserve">The fund reports in GBP to INREV, but the annual fund returns for the Index are calculated in the local currency, which is EUR. </t>
  </si>
  <si>
    <t>Results - in local currency EUR denominated</t>
  </si>
  <si>
    <t>GBP/EUR currency rate*</t>
  </si>
  <si>
    <t>NAV converted to local currency</t>
  </si>
  <si>
    <t>GBP/EUR currency rate</t>
  </si>
  <si>
    <t>Value converted to local currency EUR</t>
  </si>
  <si>
    <t>Calculate the annual total return for 2011 in EUR</t>
  </si>
  <si>
    <r>
      <t xml:space="preserve">Likewise the reported currency return (in GBP), the EUR returns are </t>
    </r>
    <r>
      <rPr>
        <b/>
        <sz val="10"/>
        <color rgb="FFFF0000"/>
        <rFont val="Arial"/>
        <family val="2"/>
      </rPr>
      <t>not</t>
    </r>
    <r>
      <rPr>
        <sz val="10"/>
        <color rgb="FFFF0000"/>
        <rFont val="Arial"/>
        <family val="2"/>
      </rPr>
      <t xml:space="preserve"> affected by any currency fluctuations. 
When converting all funds into EUR, using the currency conversion rate at the first date of the year, the numerators and denominators can be used to calculate a EUR Index.
The logic presented here for the Annual Returns calculation also applies for the Quarterly Returns calculation.</t>
    </r>
  </si>
  <si>
    <t>Calculate the annual capital growth for 2011 in EUR</t>
  </si>
  <si>
    <t>Calculate the annual distributed income return for 2011 in EUR</t>
  </si>
  <si>
    <t>Terms Of Use &amp; Disclaimer</t>
  </si>
  <si>
    <t>Terms of Use</t>
  </si>
  <si>
    <t>The data cannot be used for any purposes other than for the project set out in the proposal. The data</t>
  </si>
  <si>
    <t>cannot be forwarded to or shared with third parties without the express permission of INREV. INREV</t>
  </si>
  <si>
    <t>must be acknowledged as the source of the data at all times.</t>
  </si>
  <si>
    <t>Disclaimer</t>
  </si>
  <si>
    <t>The INREV Index is a distillation of information provided to INREV by non-listed property vehicles in order to give</t>
  </si>
  <si>
    <t>a view on the performance of the European non-listed property funds market over a particular period of time.</t>
  </si>
  <si>
    <t>It provides (and is only intended to provide) general information on any particular market featured. The INREV Index does</t>
  </si>
  <si>
    <t>not represent or contain investment information on, or constitute advice in respect of specific funds or investments,</t>
  </si>
  <si>
    <t>nor should it be used as a basis for investment decisions. These are matters on which specific professional</t>
  </si>
  <si>
    <t>advice should be taken. To any person provided with information from the INREV Index by a fund manager,</t>
  </si>
  <si>
    <t>please be aware that the information yielded in the Fund Performance section reflects the benchmark criteria selected</t>
  </si>
  <si>
    <t>by the named fund manager and may not be representative of the fund’s performance on any other basis.</t>
  </si>
  <si>
    <t>We receive the information used to create the Index in good faith from a number of fund managers. As each fund</t>
  </si>
  <si>
    <t>manager may have compiled the information under a different accounting standard, the Index does not provide</t>
  </si>
  <si>
    <t>information in accordance with a particular accounting standard. We are not in a position to confirm its accuracy</t>
  </si>
  <si>
    <t>or completeness or whether it is representative of any particular market. INREV has not verified the information it</t>
  </si>
  <si>
    <t>has received.  We do not accept responsibility for any loss which may arise from any use of or reliance on the INREV</t>
  </si>
  <si>
    <t>Index or its contents by INREV Members or any third parties. Copyright © and Database right 2019 Vereniging INREV.</t>
  </si>
  <si>
    <t>All rights reserved. INREV and the figurative INREV sign are Community trade marks.</t>
  </si>
  <si>
    <t>To eliminate any effect from currency fluctuations INREV use the Local Currency conversion to calcuate Index returns.</t>
  </si>
  <si>
    <r>
      <t xml:space="preserve">For the local currency, everything is converted into one base currency, which is EUR, in order to be able to weight the Index. 
For the Annual Index the NAV and cash flows are converted into EUR using the currency conversion rate </t>
    </r>
    <r>
      <rPr>
        <b/>
        <sz val="10"/>
        <color theme="1"/>
        <rFont val="Arial"/>
        <family val="2"/>
      </rPr>
      <t>at the first date of the year</t>
    </r>
    <r>
      <rPr>
        <sz val="10"/>
        <color theme="1"/>
        <rFont val="Arial"/>
        <family val="2"/>
      </rPr>
      <t xml:space="preserve"> effectively eliminating any currency movements over the year. 
Each year the local currency Index will be calculating using the exchange rate registered at the first date of the year.
For the Quarterly Index everything is converted into EUR using </t>
    </r>
    <r>
      <rPr>
        <b/>
        <sz val="10"/>
        <color theme="1"/>
        <rFont val="Arial"/>
        <family val="2"/>
      </rPr>
      <t xml:space="preserve">the first date of the quarter. </t>
    </r>
    <r>
      <rPr>
        <sz val="10"/>
        <color theme="1"/>
        <rFont val="Arial"/>
        <family val="2"/>
      </rPr>
      <t>Each quarterly the local currency Index will be calculating using the exchange rate registered at the first date of the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</si>
</sst>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 #,##0.00_ ;_ * \-#,##0.00_ ;_ * &quot;-&quot;??_ ;_ @_ "/>
    <numFmt numFmtId="164" formatCode="_-* #,##0.00_-;\-* #,##0.00_-;_-* &quot;-&quot;??_-;_-@_-"/>
    <numFmt numFmtId="165" formatCode="_ * #,##0_ ;_ * \-#,##0_ ;_ * &quot;-&quot;??_ ;_ @_ "/>
    <numFmt numFmtId="166" formatCode="_ * #,##0.0_ ;_ * \-#,##0.0_ ;_ * &quot;-&quot;??_ ;_ @_ "/>
    <numFmt numFmtId="167" formatCode="0.0%"/>
    <numFmt numFmtId="168" formatCode="0.0000"/>
  </numFmts>
  <fonts count="54" x14ac:knownFonts="1">
    <font>
      <sz val="10"/>
      <color theme="1"/>
      <name val="Arial"/>
      <family val="2"/>
    </font>
    <font>
      <sz val="11"/>
      <color theme="1"/>
      <name val="Arial"/>
      <family val="2"/>
      <scheme val="minor"/>
    </font>
    <font>
      <sz val="11"/>
      <color theme="1"/>
      <name val="Arial"/>
      <family val="2"/>
      <scheme val="minor"/>
    </font>
    <font>
      <sz val="11"/>
      <color theme="1"/>
      <name val="Arial"/>
      <family val="2"/>
      <scheme val="minor"/>
    </font>
    <font>
      <sz val="10"/>
      <color rgb="FFFC4C02"/>
      <name val="Arial"/>
      <family val="2"/>
    </font>
    <font>
      <sz val="10"/>
      <color rgb="FF008675"/>
      <name val="Arial"/>
      <family val="2"/>
    </font>
    <font>
      <sz val="10"/>
      <color rgb="FF956C58"/>
      <name val="Arial"/>
      <family val="2"/>
    </font>
    <font>
      <sz val="18"/>
      <color theme="0"/>
      <name val="Arial"/>
      <family val="2"/>
    </font>
    <font>
      <sz val="16"/>
      <color theme="0"/>
      <name val="Arial"/>
      <family val="2"/>
    </font>
    <font>
      <sz val="10"/>
      <name val="Arial"/>
      <family val="2"/>
    </font>
    <font>
      <sz val="11"/>
      <color rgb="FF000000"/>
      <name val="Calibri"/>
      <family val="2"/>
    </font>
    <font>
      <b/>
      <sz val="10"/>
      <color theme="0"/>
      <name val="Arial"/>
      <family val="2"/>
    </font>
    <font>
      <u/>
      <sz val="11"/>
      <color theme="10"/>
      <name val="Arial"/>
      <family val="2"/>
      <scheme val="minor"/>
    </font>
    <font>
      <b/>
      <sz val="10"/>
      <color theme="5"/>
      <name val="Arial"/>
      <family val="2"/>
    </font>
    <font>
      <u/>
      <sz val="11"/>
      <color theme="10"/>
      <name val="Calibri"/>
      <family val="2"/>
    </font>
    <font>
      <sz val="16"/>
      <color theme="2" tint="-0.249977111117893"/>
      <name val="Arial"/>
      <family val="2"/>
    </font>
    <font>
      <sz val="10"/>
      <color theme="2" tint="-0.249977111117893"/>
      <name val="Arial"/>
      <family val="2"/>
    </font>
    <font>
      <sz val="11"/>
      <color rgb="FF000000"/>
      <name val="Calibri"/>
      <family val="2"/>
    </font>
    <font>
      <u/>
      <sz val="10"/>
      <color indexed="12"/>
      <name val="Arial"/>
      <family val="2"/>
    </font>
    <font>
      <u/>
      <sz val="10"/>
      <color theme="11"/>
      <name val="Arial"/>
      <family val="2"/>
    </font>
    <font>
      <sz val="10"/>
      <color theme="1"/>
      <name val="Arial"/>
      <family val="2"/>
    </font>
    <font>
      <u val="singleAccounting"/>
      <sz val="10"/>
      <color theme="1"/>
      <name val="Arial"/>
      <family val="2"/>
    </font>
    <font>
      <u/>
      <sz val="10"/>
      <color theme="1"/>
      <name val="Arial"/>
      <family val="2"/>
    </font>
    <font>
      <b/>
      <sz val="10"/>
      <color theme="1"/>
      <name val="Arial"/>
      <family val="2"/>
    </font>
    <font>
      <sz val="10"/>
      <color theme="0"/>
      <name val="Arial"/>
      <family val="2"/>
    </font>
    <font>
      <b/>
      <sz val="10"/>
      <color theme="2" tint="-0.249977111117893"/>
      <name val="Arial"/>
      <family val="2"/>
    </font>
    <font>
      <b/>
      <sz val="10"/>
      <color theme="3"/>
      <name val="Arial"/>
      <family val="2"/>
    </font>
    <font>
      <sz val="10"/>
      <color theme="3"/>
      <name val="Arial"/>
      <family val="2"/>
    </font>
    <font>
      <sz val="11"/>
      <color rgb="FF000000"/>
      <name val="Arial"/>
      <family val="2"/>
    </font>
    <font>
      <b/>
      <sz val="18"/>
      <color rgb="FFFFFFFF"/>
      <name val="Arial"/>
      <family val="2"/>
    </font>
    <font>
      <b/>
      <sz val="11"/>
      <color rgb="FF59CBEB"/>
      <name val="Arial"/>
      <family val="2"/>
    </font>
    <font>
      <sz val="10"/>
      <color rgb="FFFF0000"/>
      <name val="Arial"/>
      <family val="2"/>
    </font>
    <font>
      <sz val="9"/>
      <color rgb="FF616163"/>
      <name val="Arial"/>
      <family val="2"/>
    </font>
    <font>
      <b/>
      <sz val="9"/>
      <color rgb="FF616163"/>
      <name val="Arial"/>
      <family val="2"/>
    </font>
    <font>
      <u/>
      <sz val="10"/>
      <color theme="10"/>
      <name val="Arial"/>
      <family val="2"/>
      <scheme val="minor"/>
    </font>
    <font>
      <sz val="10"/>
      <name val="Arial"/>
      <family val="2"/>
      <scheme val="minor"/>
    </font>
    <font>
      <u/>
      <sz val="11"/>
      <color rgb="FF59CBE8"/>
      <name val="Calibri"/>
      <family val="2"/>
    </font>
    <font>
      <sz val="11"/>
      <color rgb="FF59CBEB"/>
      <name val="Arial"/>
      <family val="2"/>
    </font>
    <font>
      <u/>
      <sz val="10"/>
      <color rgb="FF59CBE8"/>
      <name val="Arial"/>
      <family val="2"/>
      <scheme val="minor"/>
    </font>
    <font>
      <b/>
      <sz val="10"/>
      <color rgb="FF59CBE8"/>
      <name val="Arial"/>
      <family val="2"/>
    </font>
    <font>
      <sz val="18"/>
      <color theme="0"/>
      <name val="Arial"/>
      <family val="2"/>
      <scheme val="minor"/>
    </font>
    <font>
      <sz val="16"/>
      <color theme="0"/>
      <name val="Arial"/>
      <family val="2"/>
      <scheme val="minor"/>
    </font>
    <font>
      <sz val="10"/>
      <color theme="1"/>
      <name val="Arial"/>
      <family val="2"/>
      <scheme val="minor"/>
    </font>
    <font>
      <u/>
      <sz val="9"/>
      <color rgb="FF59CBE8"/>
      <name val="Arial"/>
      <family val="2"/>
      <scheme val="minor"/>
    </font>
    <font>
      <sz val="9"/>
      <color theme="1"/>
      <name val="Arial"/>
      <family val="2"/>
      <scheme val="minor"/>
    </font>
    <font>
      <sz val="9"/>
      <color rgb="FF59CBE8"/>
      <name val="Arial"/>
      <family val="2"/>
      <scheme val="minor"/>
    </font>
    <font>
      <sz val="9"/>
      <color rgb="FF616163"/>
      <name val="Arial"/>
      <family val="2"/>
      <scheme val="minor"/>
    </font>
    <font>
      <b/>
      <u/>
      <sz val="10"/>
      <color rgb="FF59CBE8"/>
      <name val="Arial"/>
      <family val="2"/>
      <scheme val="minor"/>
    </font>
    <font>
      <b/>
      <u/>
      <sz val="10"/>
      <name val="Arial"/>
      <family val="2"/>
      <scheme val="minor"/>
    </font>
    <font>
      <b/>
      <sz val="10"/>
      <name val="Arial"/>
      <family val="2"/>
      <scheme val="minor"/>
    </font>
    <font>
      <sz val="10"/>
      <color rgb="FF59CBE8"/>
      <name val="Arial"/>
      <family val="2"/>
    </font>
    <font>
      <u/>
      <sz val="18"/>
      <color rgb="FF59CBE8"/>
      <name val="Arial"/>
      <family val="2"/>
      <scheme val="minor"/>
    </font>
    <font>
      <b/>
      <sz val="10"/>
      <color rgb="FFFF0000"/>
      <name val="Arial"/>
      <family val="2"/>
    </font>
    <font>
      <b/>
      <sz val="10"/>
      <name val="Arial"/>
      <family val="2"/>
    </font>
  </fonts>
  <fills count="12">
    <fill>
      <patternFill patternType="none"/>
    </fill>
    <fill>
      <patternFill patternType="gray125"/>
    </fill>
    <fill>
      <patternFill patternType="solid">
        <fgColor rgb="FFECA154"/>
        <bgColor indexed="64"/>
      </patternFill>
    </fill>
    <fill>
      <patternFill patternType="solid">
        <fgColor rgb="FF91D6AC"/>
        <bgColor indexed="64"/>
      </patternFill>
    </fill>
    <fill>
      <patternFill patternType="solid">
        <fgColor rgb="FFC6A1CF"/>
        <bgColor indexed="64"/>
      </patternFill>
    </fill>
    <fill>
      <patternFill patternType="solid">
        <fgColor theme="3"/>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FFFF"/>
        <bgColor rgb="FF000000"/>
      </patternFill>
    </fill>
    <fill>
      <patternFill patternType="solid">
        <fgColor rgb="FF55585A"/>
        <bgColor rgb="FF000000"/>
      </patternFill>
    </fill>
    <fill>
      <patternFill patternType="solid">
        <fgColor theme="0" tint="-0.499984740745262"/>
        <bgColor indexed="64"/>
      </patternFill>
    </fill>
  </fills>
  <borders count="9">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0">
    <xf numFmtId="0" fontId="0" fillId="0" borderId="0"/>
    <xf numFmtId="0" fontId="5" fillId="3" borderId="0" applyNumberFormat="0" applyBorder="0" applyAlignment="0" applyProtection="0"/>
    <xf numFmtId="0" fontId="4" fillId="2" borderId="0" applyNumberFormat="0" applyBorder="0" applyAlignment="0" applyProtection="0"/>
    <xf numFmtId="0" fontId="6" fillId="4" borderId="0" applyNumberFormat="0" applyBorder="0" applyAlignment="0" applyProtection="0"/>
    <xf numFmtId="0" fontId="10" fillId="0" borderId="0"/>
    <xf numFmtId="0" fontId="9" fillId="0" borderId="0"/>
    <xf numFmtId="0" fontId="3" fillId="0" borderId="0"/>
    <xf numFmtId="0" fontId="12" fillId="0" borderId="0" applyNumberFormat="0" applyFill="0" applyBorder="0" applyAlignment="0" applyProtection="0"/>
    <xf numFmtId="0" fontId="14" fillId="0" borderId="0" applyNumberFormat="0" applyFill="0" applyBorder="0" applyAlignment="0" applyProtection="0">
      <alignment vertical="top"/>
      <protection locked="0"/>
    </xf>
    <xf numFmtId="0" fontId="2" fillId="0" borderId="0"/>
    <xf numFmtId="0" fontId="1" fillId="0" borderId="0"/>
    <xf numFmtId="0" fontId="17" fillId="0" borderId="0"/>
    <xf numFmtId="0" fontId="18" fillId="0" borderId="0" applyNumberFormat="0" applyFill="0" applyBorder="0" applyAlignment="0" applyProtection="0">
      <alignment vertical="top"/>
      <protection locked="0"/>
    </xf>
    <xf numFmtId="9" fontId="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0" fontId="28" fillId="0" borderId="0"/>
  </cellStyleXfs>
  <cellXfs count="188">
    <xf numFmtId="0" fontId="0" fillId="0" borderId="0" xfId="0"/>
    <xf numFmtId="0" fontId="8" fillId="5" borderId="0" xfId="0" applyFont="1" applyFill="1" applyAlignment="1">
      <alignment vertical="center"/>
    </xf>
    <xf numFmtId="0" fontId="7" fillId="5" borderId="0" xfId="0" applyFont="1" applyFill="1" applyAlignment="1">
      <alignment vertical="center"/>
    </xf>
    <xf numFmtId="0" fontId="13" fillId="0" borderId="0" xfId="0" applyFont="1"/>
    <xf numFmtId="0" fontId="11" fillId="5" borderId="0" xfId="0" applyFont="1" applyFill="1"/>
    <xf numFmtId="0" fontId="14" fillId="0" borderId="0" xfId="8" applyAlignment="1" applyProtection="1"/>
    <xf numFmtId="0" fontId="15" fillId="5" borderId="0" xfId="0" applyFont="1" applyFill="1" applyAlignment="1">
      <alignment vertical="center"/>
    </xf>
    <xf numFmtId="0" fontId="16" fillId="0" borderId="0" xfId="0" applyFont="1"/>
    <xf numFmtId="0" fontId="7" fillId="5" borderId="0" xfId="8" applyFont="1" applyFill="1" applyAlignment="1" applyProtection="1">
      <alignment vertical="center"/>
    </xf>
    <xf numFmtId="0" fontId="9" fillId="0" borderId="0" xfId="0" applyFont="1"/>
    <xf numFmtId="14" fontId="0" fillId="0" borderId="0" xfId="0" applyNumberFormat="1"/>
    <xf numFmtId="0" fontId="0" fillId="0" borderId="0" xfId="0" applyFont="1"/>
    <xf numFmtId="0" fontId="0" fillId="6" borderId="0" xfId="0" applyFill="1"/>
    <xf numFmtId="165" fontId="0" fillId="0" borderId="0" xfId="17" applyNumberFormat="1" applyFont="1"/>
    <xf numFmtId="0" fontId="0" fillId="0" borderId="0" xfId="0" applyNumberFormat="1"/>
    <xf numFmtId="14" fontId="0" fillId="7" borderId="0" xfId="0" applyNumberFormat="1" applyFill="1"/>
    <xf numFmtId="0" fontId="0" fillId="7" borderId="0" xfId="0" applyFill="1"/>
    <xf numFmtId="0" fontId="0" fillId="7" borderId="0" xfId="0" applyNumberFormat="1" applyFill="1"/>
    <xf numFmtId="165" fontId="0" fillId="7" borderId="0" xfId="17" applyNumberFormat="1" applyFont="1" applyFill="1"/>
    <xf numFmtId="14" fontId="0" fillId="6" borderId="0" xfId="0" applyNumberFormat="1" applyFill="1" applyBorder="1"/>
    <xf numFmtId="0" fontId="0" fillId="6" borderId="0" xfId="0" applyFill="1" applyBorder="1"/>
    <xf numFmtId="14" fontId="13" fillId="6" borderId="0" xfId="0" applyNumberFormat="1" applyFont="1" applyFill="1" applyBorder="1"/>
    <xf numFmtId="0" fontId="13" fillId="6" borderId="0" xfId="0" applyFont="1" applyFill="1" applyBorder="1"/>
    <xf numFmtId="0" fontId="22" fillId="6" borderId="0" xfId="0" applyFont="1" applyFill="1" applyBorder="1"/>
    <xf numFmtId="165" fontId="21" fillId="6" borderId="0" xfId="0" applyNumberFormat="1" applyFont="1" applyFill="1" applyBorder="1"/>
    <xf numFmtId="10" fontId="0" fillId="6" borderId="0" xfId="18" applyNumberFormat="1" applyFont="1" applyFill="1" applyBorder="1"/>
    <xf numFmtId="14" fontId="0" fillId="6" borderId="0" xfId="0" applyNumberFormat="1" applyFill="1"/>
    <xf numFmtId="0" fontId="13" fillId="6" borderId="0" xfId="0" applyFont="1" applyFill="1"/>
    <xf numFmtId="10" fontId="0" fillId="6" borderId="0" xfId="18" applyNumberFormat="1" applyFont="1" applyFill="1"/>
    <xf numFmtId="0" fontId="0" fillId="0" borderId="0" xfId="0" applyFill="1"/>
    <xf numFmtId="165" fontId="0" fillId="0" borderId="0" xfId="17" applyNumberFormat="1" applyFont="1" applyFill="1"/>
    <xf numFmtId="14" fontId="0" fillId="0" borderId="0" xfId="0" applyNumberFormat="1" applyFill="1"/>
    <xf numFmtId="0" fontId="0" fillId="0" borderId="0" xfId="0" applyNumberFormat="1" applyFill="1"/>
    <xf numFmtId="0" fontId="22" fillId="6" borderId="0" xfId="0" applyFont="1" applyFill="1"/>
    <xf numFmtId="0" fontId="22" fillId="6" borderId="0" xfId="0" applyFont="1" applyFill="1" applyAlignment="1">
      <alignment horizontal="right"/>
    </xf>
    <xf numFmtId="165" fontId="22" fillId="6" borderId="0" xfId="0" applyNumberFormat="1" applyFont="1" applyFill="1" applyBorder="1"/>
    <xf numFmtId="0" fontId="16" fillId="0" borderId="0" xfId="0" applyFont="1" applyFill="1"/>
    <xf numFmtId="0" fontId="11" fillId="5" borderId="0" xfId="0" applyFont="1" applyFill="1" applyAlignment="1">
      <alignment wrapText="1"/>
    </xf>
    <xf numFmtId="0" fontId="11" fillId="0" borderId="0" xfId="0" applyFont="1" applyFill="1"/>
    <xf numFmtId="10" fontId="0" fillId="0" borderId="0" xfId="18" applyNumberFormat="1" applyFont="1" applyFill="1"/>
    <xf numFmtId="0" fontId="0" fillId="6" borderId="0" xfId="0" applyFont="1" applyFill="1" applyBorder="1"/>
    <xf numFmtId="2" fontId="0" fillId="6" borderId="0" xfId="0" applyNumberFormat="1" applyFont="1" applyFill="1" applyBorder="1" applyAlignment="1">
      <alignment horizontal="left"/>
    </xf>
    <xf numFmtId="0" fontId="0" fillId="6" borderId="0" xfId="0" applyFont="1" applyFill="1" applyBorder="1" applyAlignment="1">
      <alignment horizontal="center"/>
    </xf>
    <xf numFmtId="0" fontId="0" fillId="6" borderId="0" xfId="0" applyFont="1" applyFill="1"/>
    <xf numFmtId="10" fontId="20" fillId="6" borderId="0" xfId="18" applyNumberFormat="1" applyFont="1" applyFill="1" applyBorder="1" applyAlignment="1">
      <alignment horizontal="center"/>
    </xf>
    <xf numFmtId="0" fontId="0" fillId="6" borderId="0" xfId="0" quotePrefix="1" applyFont="1" applyFill="1" applyBorder="1" applyAlignment="1">
      <alignment horizontal="center"/>
    </xf>
    <xf numFmtId="0" fontId="9" fillId="6" borderId="0" xfId="0" applyFont="1" applyFill="1"/>
    <xf numFmtId="0" fontId="0" fillId="6" borderId="0" xfId="0" applyFill="1" applyAlignment="1">
      <alignment horizontal="left"/>
    </xf>
    <xf numFmtId="10" fontId="0" fillId="6" borderId="0" xfId="18" applyNumberFormat="1" applyFont="1" applyFill="1" applyAlignment="1">
      <alignment horizontal="left"/>
    </xf>
    <xf numFmtId="0" fontId="0" fillId="6" borderId="0" xfId="0" applyFont="1" applyFill="1" applyBorder="1" applyAlignment="1">
      <alignment horizontal="left"/>
    </xf>
    <xf numFmtId="0" fontId="9" fillId="8" borderId="0" xfId="0" applyFont="1" applyFill="1" applyAlignment="1">
      <alignment horizontal="left"/>
    </xf>
    <xf numFmtId="0" fontId="9" fillId="6" borderId="0" xfId="0" applyFont="1" applyFill="1" applyAlignment="1">
      <alignment horizontal="left"/>
    </xf>
    <xf numFmtId="0" fontId="0" fillId="6" borderId="0" xfId="0" applyFill="1" applyBorder="1" applyAlignment="1">
      <alignment horizontal="left"/>
    </xf>
    <xf numFmtId="2" fontId="0" fillId="0" borderId="0" xfId="18" applyNumberFormat="1" applyFont="1" applyFill="1"/>
    <xf numFmtId="0" fontId="13" fillId="0" borderId="0" xfId="0" applyFont="1" applyFill="1"/>
    <xf numFmtId="0" fontId="23" fillId="0" borderId="0" xfId="0" applyFont="1"/>
    <xf numFmtId="0" fontId="24" fillId="5" borderId="0" xfId="0" applyFont="1" applyFill="1"/>
    <xf numFmtId="10" fontId="0" fillId="0" borderId="0" xfId="0" applyNumberFormat="1"/>
    <xf numFmtId="0" fontId="0" fillId="0" borderId="0" xfId="0" applyFont="1" applyFill="1"/>
    <xf numFmtId="0" fontId="23" fillId="0" borderId="0" xfId="0" applyFont="1" applyFill="1"/>
    <xf numFmtId="10" fontId="0" fillId="0" borderId="0" xfId="0" applyNumberFormat="1" applyFont="1" applyFill="1"/>
    <xf numFmtId="10" fontId="0" fillId="0" borderId="0" xfId="0" applyNumberFormat="1" applyFill="1"/>
    <xf numFmtId="0" fontId="0" fillId="6" borderId="0" xfId="0" applyFill="1" applyBorder="1" applyAlignment="1">
      <alignment horizontal="center"/>
    </xf>
    <xf numFmtId="0" fontId="22" fillId="6" borderId="0" xfId="0" applyFont="1" applyFill="1" applyAlignment="1">
      <alignment horizontal="center"/>
    </xf>
    <xf numFmtId="10" fontId="0" fillId="6" borderId="0" xfId="18" applyNumberFormat="1" applyFont="1" applyFill="1" applyBorder="1" applyAlignment="1">
      <alignment horizontal="left"/>
    </xf>
    <xf numFmtId="0" fontId="25" fillId="0" borderId="0" xfId="0" applyFont="1"/>
    <xf numFmtId="0" fontId="23" fillId="6" borderId="0" xfId="0" applyFont="1" applyFill="1" applyBorder="1"/>
    <xf numFmtId="0" fontId="23" fillId="6" borderId="0" xfId="0" applyFont="1" applyFill="1"/>
    <xf numFmtId="14" fontId="23" fillId="6" borderId="0" xfId="0" applyNumberFormat="1" applyFont="1" applyFill="1" applyBorder="1"/>
    <xf numFmtId="14" fontId="23" fillId="6" borderId="0" xfId="0" applyNumberFormat="1" applyFont="1" applyFill="1"/>
    <xf numFmtId="10" fontId="23" fillId="6" borderId="0" xfId="18" applyNumberFormat="1" applyFont="1" applyFill="1" applyBorder="1"/>
    <xf numFmtId="14" fontId="0" fillId="6" borderId="0" xfId="0" applyNumberFormat="1" applyFont="1" applyFill="1" applyBorder="1"/>
    <xf numFmtId="10" fontId="20" fillId="6" borderId="0" xfId="18" applyNumberFormat="1" applyFont="1" applyFill="1" applyBorder="1" applyAlignment="1">
      <alignment horizontal="left"/>
    </xf>
    <xf numFmtId="0" fontId="0" fillId="0" borderId="0" xfId="17" applyNumberFormat="1" applyFont="1" applyFill="1" applyAlignment="1">
      <alignment horizontal="right"/>
    </xf>
    <xf numFmtId="43" fontId="0" fillId="0" borderId="0" xfId="17" applyFont="1" applyFill="1" applyAlignment="1">
      <alignment horizontal="right"/>
    </xf>
    <xf numFmtId="1" fontId="0" fillId="0" borderId="0" xfId="17" applyNumberFormat="1" applyFont="1" applyFill="1" applyAlignment="1">
      <alignment horizontal="right"/>
    </xf>
    <xf numFmtId="43" fontId="0" fillId="6" borderId="0" xfId="17" applyFont="1" applyFill="1" applyAlignment="1">
      <alignment horizontal="right"/>
    </xf>
    <xf numFmtId="10" fontId="0" fillId="6" borderId="0" xfId="18" applyNumberFormat="1" applyFont="1" applyFill="1" applyAlignment="1">
      <alignment horizontal="right"/>
    </xf>
    <xf numFmtId="10" fontId="0" fillId="0" borderId="0" xfId="18" applyNumberFormat="1" applyFont="1"/>
    <xf numFmtId="166" fontId="0" fillId="6" borderId="0" xfId="17" applyNumberFormat="1" applyFont="1" applyFill="1" applyAlignment="1">
      <alignment horizontal="right"/>
    </xf>
    <xf numFmtId="165" fontId="0" fillId="6" borderId="0" xfId="17" applyNumberFormat="1" applyFont="1" applyFill="1" applyAlignment="1">
      <alignment horizontal="right"/>
    </xf>
    <xf numFmtId="0" fontId="26" fillId="8" borderId="0" xfId="0" applyFont="1" applyFill="1"/>
    <xf numFmtId="0" fontId="26" fillId="8" borderId="0" xfId="0" applyFont="1" applyFill="1" applyAlignment="1">
      <alignment wrapText="1"/>
    </xf>
    <xf numFmtId="0" fontId="27" fillId="6" borderId="0" xfId="0" applyFont="1" applyFill="1"/>
    <xf numFmtId="0" fontId="0" fillId="6" borderId="1" xfId="0" applyFill="1" applyBorder="1" applyAlignment="1">
      <alignment horizontal="center"/>
    </xf>
    <xf numFmtId="0" fontId="0" fillId="6" borderId="0" xfId="0" applyFill="1" applyAlignment="1">
      <alignment horizontal="center"/>
    </xf>
    <xf numFmtId="167" fontId="0" fillId="6" borderId="0" xfId="18" applyNumberFormat="1" applyFont="1" applyFill="1"/>
    <xf numFmtId="0" fontId="0" fillId="0" borderId="2" xfId="0" applyBorder="1"/>
    <xf numFmtId="167" fontId="0" fillId="0" borderId="0" xfId="18" applyNumberFormat="1" applyFont="1"/>
    <xf numFmtId="167" fontId="0" fillId="0" borderId="2" xfId="0" applyNumberFormat="1" applyBorder="1"/>
    <xf numFmtId="0" fontId="0" fillId="6" borderId="1" xfId="0" applyFill="1" applyBorder="1" applyAlignment="1">
      <alignment horizontal="left"/>
    </xf>
    <xf numFmtId="0" fontId="11" fillId="5" borderId="0" xfId="0" applyFont="1" applyFill="1" applyAlignment="1"/>
    <xf numFmtId="14" fontId="0" fillId="0" borderId="0" xfId="17" applyNumberFormat="1" applyFont="1" applyFill="1" applyAlignment="1">
      <alignment horizontal="right"/>
    </xf>
    <xf numFmtId="14" fontId="0" fillId="6" borderId="0" xfId="0" applyNumberFormat="1" applyFill="1" applyAlignment="1">
      <alignment horizontal="left"/>
    </xf>
    <xf numFmtId="0" fontId="9" fillId="0" borderId="0" xfId="0" applyFont="1" applyFill="1"/>
    <xf numFmtId="14" fontId="9" fillId="0" borderId="0" xfId="0" applyNumberFormat="1" applyFont="1" applyFill="1"/>
    <xf numFmtId="0" fontId="29" fillId="10" borderId="0" xfId="0" applyFont="1" applyFill="1"/>
    <xf numFmtId="0" fontId="0" fillId="9" borderId="0" xfId="0" applyFill="1"/>
    <xf numFmtId="0" fontId="30" fillId="9" borderId="0" xfId="0" applyFont="1" applyFill="1"/>
    <xf numFmtId="165" fontId="0" fillId="6" borderId="0" xfId="17" applyNumberFormat="1" applyFont="1" applyFill="1" applyBorder="1"/>
    <xf numFmtId="43" fontId="0" fillId="0" borderId="0" xfId="17" applyFont="1"/>
    <xf numFmtId="43" fontId="0" fillId="6" borderId="0" xfId="17" applyFont="1" applyFill="1"/>
    <xf numFmtId="165" fontId="0" fillId="6" borderId="0" xfId="17" applyNumberFormat="1" applyFont="1" applyFill="1"/>
    <xf numFmtId="43" fontId="0" fillId="6" borderId="0" xfId="17" applyFont="1" applyFill="1" applyBorder="1"/>
    <xf numFmtId="165" fontId="22" fillId="6" borderId="0" xfId="17" applyNumberFormat="1" applyFont="1" applyFill="1" applyBorder="1"/>
    <xf numFmtId="43" fontId="0" fillId="6" borderId="0" xfId="17" applyFont="1" applyFill="1" applyBorder="1" applyAlignment="1">
      <alignment horizontal="center"/>
    </xf>
    <xf numFmtId="43" fontId="22" fillId="6" borderId="0" xfId="17" applyFont="1" applyFill="1" applyBorder="1" applyAlignment="1">
      <alignment horizontal="center"/>
    </xf>
    <xf numFmtId="165" fontId="0" fillId="6" borderId="0" xfId="17" applyNumberFormat="1" applyFont="1" applyFill="1" applyBorder="1" applyAlignment="1">
      <alignment horizontal="center"/>
    </xf>
    <xf numFmtId="165" fontId="22" fillId="6" borderId="0" xfId="17" applyNumberFormat="1" applyFont="1" applyFill="1" applyBorder="1" applyAlignment="1">
      <alignment horizontal="center"/>
    </xf>
    <xf numFmtId="43" fontId="22" fillId="6" borderId="0" xfId="17" applyFont="1" applyFill="1"/>
    <xf numFmtId="165" fontId="16" fillId="0" borderId="0" xfId="17" applyNumberFormat="1" applyFont="1"/>
    <xf numFmtId="165" fontId="0" fillId="0" borderId="0" xfId="17" applyNumberFormat="1" applyFont="1" applyFill="1" applyAlignment="1">
      <alignment horizontal="right"/>
    </xf>
    <xf numFmtId="165" fontId="0" fillId="0" borderId="0" xfId="17" applyNumberFormat="1" applyFont="1" applyFill="1" applyBorder="1" applyAlignment="1">
      <alignment horizontal="right"/>
    </xf>
    <xf numFmtId="165" fontId="0" fillId="0" borderId="2" xfId="17" applyNumberFormat="1" applyFont="1" applyBorder="1" applyAlignment="1">
      <alignment horizontal="right"/>
    </xf>
    <xf numFmtId="165" fontId="0" fillId="6" borderId="1" xfId="17" applyNumberFormat="1" applyFont="1" applyFill="1" applyBorder="1" applyAlignment="1">
      <alignment horizontal="center"/>
    </xf>
    <xf numFmtId="165" fontId="0" fillId="6" borderId="0" xfId="17" applyNumberFormat="1" applyFont="1" applyFill="1" applyAlignment="1">
      <alignment horizontal="center"/>
    </xf>
    <xf numFmtId="165" fontId="0" fillId="6" borderId="0" xfId="17" applyNumberFormat="1" applyFont="1" applyFill="1" applyBorder="1" applyAlignment="1">
      <alignment horizontal="left"/>
    </xf>
    <xf numFmtId="165" fontId="9" fillId="0" borderId="0" xfId="17" applyNumberFormat="1" applyFont="1" applyFill="1"/>
    <xf numFmtId="0" fontId="31" fillId="6" borderId="0" xfId="0" applyFont="1" applyFill="1"/>
    <xf numFmtId="0" fontId="32" fillId="0" borderId="0" xfId="0" applyFont="1"/>
    <xf numFmtId="0" fontId="32" fillId="0" borderId="0" xfId="0" applyFont="1" applyAlignment="1">
      <alignment horizontal="left" vertical="center" readingOrder="1"/>
    </xf>
    <xf numFmtId="14" fontId="13" fillId="6" borderId="3" xfId="0" applyNumberFormat="1" applyFont="1" applyFill="1" applyBorder="1"/>
    <xf numFmtId="0" fontId="13" fillId="6" borderId="4" xfId="0" applyFont="1" applyFill="1" applyBorder="1"/>
    <xf numFmtId="14" fontId="0" fillId="6" borderId="5" xfId="0" applyNumberFormat="1" applyFill="1" applyBorder="1"/>
    <xf numFmtId="0" fontId="0" fillId="6" borderId="6" xfId="0" applyFill="1" applyBorder="1"/>
    <xf numFmtId="0" fontId="33" fillId="6" borderId="5" xfId="0" applyFont="1" applyFill="1" applyBorder="1" applyAlignment="1">
      <alignment horizontal="left" vertical="center" readingOrder="1"/>
    </xf>
    <xf numFmtId="0" fontId="0" fillId="6" borderId="5" xfId="0" applyFill="1" applyBorder="1"/>
    <xf numFmtId="0" fontId="37" fillId="9" borderId="0" xfId="0" applyFont="1" applyFill="1"/>
    <xf numFmtId="14" fontId="39" fillId="6" borderId="3" xfId="0" applyNumberFormat="1" applyFont="1" applyFill="1" applyBorder="1"/>
    <xf numFmtId="0" fontId="40" fillId="5" borderId="0" xfId="8" applyFont="1" applyFill="1" applyAlignment="1" applyProtection="1">
      <alignment vertical="center"/>
    </xf>
    <xf numFmtId="0" fontId="41" fillId="5" borderId="0" xfId="0" applyFont="1" applyFill="1" applyAlignment="1">
      <alignment vertical="center"/>
    </xf>
    <xf numFmtId="0" fontId="42" fillId="0" borderId="0" xfId="0" applyFont="1"/>
    <xf numFmtId="0" fontId="43" fillId="0" borderId="0" xfId="8" applyFont="1" applyFill="1" applyBorder="1" applyAlignment="1" applyProtection="1">
      <alignment vertical="top" wrapText="1"/>
    </xf>
    <xf numFmtId="0" fontId="44" fillId="0" borderId="0" xfId="0" applyFont="1"/>
    <xf numFmtId="0" fontId="12" fillId="0" borderId="0" xfId="8" applyFont="1" applyAlignment="1" applyProtection="1"/>
    <xf numFmtId="0" fontId="46" fillId="0" borderId="0" xfId="0" applyFont="1" applyAlignment="1">
      <alignment horizontal="left" vertical="center" readingOrder="1"/>
    </xf>
    <xf numFmtId="0" fontId="47" fillId="0" borderId="0" xfId="8" applyFont="1" applyFill="1" applyBorder="1" applyAlignment="1" applyProtection="1">
      <alignment vertical="top" wrapText="1"/>
    </xf>
    <xf numFmtId="0" fontId="46" fillId="0" borderId="0" xfId="0" applyFont="1" applyAlignment="1">
      <alignment horizontal="left" vertical="center" wrapText="1" readingOrder="1"/>
    </xf>
    <xf numFmtId="0" fontId="42" fillId="0" borderId="0" xfId="0" applyFont="1" applyAlignment="1">
      <alignment horizontal="left" indent="1"/>
    </xf>
    <xf numFmtId="0" fontId="43" fillId="0" borderId="0" xfId="8" applyFont="1" applyFill="1" applyBorder="1" applyAlignment="1" applyProtection="1">
      <alignment horizontal="left" wrapText="1" indent="1"/>
    </xf>
    <xf numFmtId="0" fontId="36" fillId="0" borderId="0" xfId="8" applyFont="1" applyAlignment="1" applyProtection="1"/>
    <xf numFmtId="0" fontId="50" fillId="0" borderId="0" xfId="0" applyFont="1"/>
    <xf numFmtId="0" fontId="31" fillId="0" borderId="0" xfId="0" applyFont="1"/>
    <xf numFmtId="0" fontId="51" fillId="5" borderId="0" xfId="8" applyFont="1" applyFill="1" applyAlignment="1" applyProtection="1">
      <alignment vertical="center"/>
    </xf>
    <xf numFmtId="0" fontId="0" fillId="0" borderId="5" xfId="0" applyBorder="1"/>
    <xf numFmtId="0" fontId="0" fillId="0" borderId="5" xfId="0" applyFill="1" applyBorder="1"/>
    <xf numFmtId="0" fontId="0" fillId="0" borderId="7" xfId="0" applyFill="1" applyBorder="1"/>
    <xf numFmtId="14" fontId="13" fillId="6" borderId="0" xfId="0" applyNumberFormat="1" applyFont="1" applyFill="1" applyBorder="1" applyAlignment="1"/>
    <xf numFmtId="0" fontId="13" fillId="6" borderId="0" xfId="0" applyFont="1" applyFill="1" applyBorder="1" applyAlignment="1"/>
    <xf numFmtId="0" fontId="0" fillId="6" borderId="0" xfId="0" applyFill="1" applyBorder="1" applyAlignment="1"/>
    <xf numFmtId="0" fontId="0" fillId="6" borderId="0" xfId="0" applyFill="1" applyAlignment="1"/>
    <xf numFmtId="0" fontId="0" fillId="0" borderId="0" xfId="0" applyAlignment="1"/>
    <xf numFmtId="0" fontId="13" fillId="0" borderId="0" xfId="0" applyFont="1" applyAlignment="1"/>
    <xf numFmtId="0" fontId="0" fillId="6" borderId="5" xfId="0" applyFill="1" applyBorder="1" applyAlignment="1"/>
    <xf numFmtId="0" fontId="0" fillId="6" borderId="6" xfId="0" applyFill="1" applyBorder="1" applyAlignment="1"/>
    <xf numFmtId="0" fontId="31" fillId="0" borderId="0" xfId="0" applyFont="1" applyAlignment="1">
      <alignment vertical="top" wrapText="1"/>
    </xf>
    <xf numFmtId="0" fontId="11" fillId="11" borderId="5" xfId="0" applyFont="1" applyFill="1" applyBorder="1"/>
    <xf numFmtId="0" fontId="16" fillId="0" borderId="0" xfId="0" applyFont="1" applyAlignment="1">
      <alignment vertical="top"/>
    </xf>
    <xf numFmtId="14" fontId="0" fillId="0" borderId="0" xfId="0" applyNumberFormat="1" applyAlignment="1">
      <alignment vertical="top"/>
    </xf>
    <xf numFmtId="0" fontId="0" fillId="0" borderId="0" xfId="0" applyAlignment="1">
      <alignment vertical="top"/>
    </xf>
    <xf numFmtId="0" fontId="33" fillId="6" borderId="5" xfId="0" applyFont="1" applyFill="1" applyBorder="1" applyAlignment="1">
      <alignment horizontal="left" vertical="top" readingOrder="1"/>
    </xf>
    <xf numFmtId="0" fontId="0" fillId="6" borderId="6" xfId="0" applyFill="1" applyBorder="1" applyAlignment="1">
      <alignment vertical="top"/>
    </xf>
    <xf numFmtId="168" fontId="0" fillId="0" borderId="0" xfId="17" applyNumberFormat="1" applyFont="1" applyFill="1" applyAlignment="1">
      <alignment horizontal="right"/>
    </xf>
    <xf numFmtId="0" fontId="0" fillId="0" borderId="0" xfId="0" applyFill="1" applyBorder="1"/>
    <xf numFmtId="168" fontId="9" fillId="0" borderId="0" xfId="0" applyNumberFormat="1" applyFont="1" applyFill="1"/>
    <xf numFmtId="0" fontId="47" fillId="11" borderId="0" xfId="8" applyFont="1" applyFill="1" applyBorder="1" applyAlignment="1" applyProtection="1">
      <alignment vertical="center"/>
    </xf>
    <xf numFmtId="0" fontId="13" fillId="0" borderId="0" xfId="0" applyFont="1" applyBorder="1" applyAlignment="1"/>
    <xf numFmtId="0" fontId="0" fillId="0" borderId="0" xfId="0" applyBorder="1" applyAlignment="1"/>
    <xf numFmtId="10" fontId="0" fillId="0" borderId="0" xfId="0" applyNumberFormat="1" applyBorder="1" applyAlignment="1">
      <alignment horizontal="right" indent="1"/>
    </xf>
    <xf numFmtId="0" fontId="47" fillId="11" borderId="6" xfId="8" applyFont="1" applyFill="1" applyBorder="1" applyAlignment="1" applyProtection="1">
      <alignment vertical="center"/>
    </xf>
    <xf numFmtId="10" fontId="0" fillId="0" borderId="6" xfId="0" applyNumberFormat="1" applyBorder="1" applyAlignment="1">
      <alignment horizontal="right" indent="1"/>
    </xf>
    <xf numFmtId="10" fontId="0" fillId="0" borderId="1" xfId="0" applyNumberFormat="1" applyBorder="1" applyAlignment="1">
      <alignment horizontal="right" indent="1"/>
    </xf>
    <xf numFmtId="10" fontId="0" fillId="0" borderId="8" xfId="0" applyNumberFormat="1" applyBorder="1" applyAlignment="1">
      <alignment horizontal="right" indent="1"/>
    </xf>
    <xf numFmtId="165" fontId="0" fillId="0" borderId="0" xfId="0" applyNumberFormat="1"/>
    <xf numFmtId="164" fontId="0" fillId="0" borderId="0" xfId="0" applyNumberFormat="1"/>
    <xf numFmtId="168" fontId="0" fillId="0" borderId="0" xfId="0" applyNumberFormat="1"/>
    <xf numFmtId="10" fontId="0" fillId="0" borderId="6" xfId="0" applyNumberFormat="1" applyBorder="1"/>
    <xf numFmtId="10" fontId="0" fillId="0" borderId="8" xfId="0" applyNumberFormat="1" applyBorder="1"/>
    <xf numFmtId="0" fontId="53" fillId="0" borderId="0" xfId="0" applyFont="1" applyFill="1"/>
    <xf numFmtId="0" fontId="53" fillId="0" borderId="0" xfId="0" applyFont="1"/>
    <xf numFmtId="0" fontId="0" fillId="6" borderId="0" xfId="0" applyFill="1" applyAlignment="1">
      <alignment horizontal="center" vertical="center" wrapText="1"/>
    </xf>
    <xf numFmtId="0" fontId="51" fillId="5" borderId="0" xfId="8" applyFont="1" applyFill="1" applyAlignment="1" applyProtection="1">
      <alignment horizontal="center" vertical="center"/>
    </xf>
    <xf numFmtId="0" fontId="34" fillId="6" borderId="5" xfId="8" applyFont="1" applyFill="1" applyBorder="1" applyAlignment="1" applyProtection="1">
      <alignment horizontal="left" vertical="top" wrapText="1"/>
    </xf>
    <xf numFmtId="0" fontId="34" fillId="6" borderId="6" xfId="8" applyFont="1" applyFill="1" applyBorder="1" applyAlignment="1" applyProtection="1">
      <alignment horizontal="left" vertical="top" wrapText="1"/>
    </xf>
    <xf numFmtId="0" fontId="34" fillId="6" borderId="7" xfId="8" applyFont="1" applyFill="1" applyBorder="1" applyAlignment="1" applyProtection="1">
      <alignment horizontal="left" vertical="top" wrapText="1"/>
    </xf>
    <xf numFmtId="0" fontId="34" fillId="6" borderId="8" xfId="8" applyFont="1" applyFill="1" applyBorder="1" applyAlignment="1" applyProtection="1">
      <alignment horizontal="left" vertical="top" wrapText="1"/>
    </xf>
    <xf numFmtId="0" fontId="0" fillId="0" borderId="0" xfId="0" applyAlignment="1">
      <alignment horizontal="left" vertical="top" wrapText="1"/>
    </xf>
    <xf numFmtId="0" fontId="31" fillId="0" borderId="0" xfId="0" applyFont="1" applyAlignment="1">
      <alignment horizontal="left" vertical="top" wrapText="1"/>
    </xf>
  </cellXfs>
  <cellStyles count="20">
    <cellStyle name="Bad" xfId="2" builtinId="27" customBuiltin="1"/>
    <cellStyle name="Comma" xfId="17" builtinId="3"/>
    <cellStyle name="Followed Hyperlink" xfId="16" builtinId="9" hidden="1"/>
    <cellStyle name="Followed Hyperlink" xfId="15" builtinId="9" hidden="1"/>
    <cellStyle name="Followed Hyperlink" xfId="14" builtinId="9" hidden="1"/>
    <cellStyle name="Good" xfId="1" builtinId="26" customBuiltin="1"/>
    <cellStyle name="Hyperlink" xfId="8" builtinId="8"/>
    <cellStyle name="Hyperlink 2" xfId="7" xr:uid="{00000000-0005-0000-0000-000007000000}"/>
    <cellStyle name="Hyperlink 3" xfId="12" xr:uid="{00000000-0005-0000-0000-000008000000}"/>
    <cellStyle name="Neutral" xfId="3" builtinId="28" customBuiltin="1"/>
    <cellStyle name="Normal" xfId="0" builtinId="0" customBuiltin="1"/>
    <cellStyle name="Normal 18" xfId="5" xr:uid="{00000000-0005-0000-0000-00000B000000}"/>
    <cellStyle name="Normal 2" xfId="4" xr:uid="{00000000-0005-0000-0000-00000C000000}"/>
    <cellStyle name="Normal 3" xfId="6" xr:uid="{00000000-0005-0000-0000-00000D000000}"/>
    <cellStyle name="Normal 4" xfId="9" xr:uid="{00000000-0005-0000-0000-00000E000000}"/>
    <cellStyle name="Normal 4 2" xfId="11" xr:uid="{00000000-0005-0000-0000-00000F000000}"/>
    <cellStyle name="Normal 5" xfId="10" xr:uid="{00000000-0005-0000-0000-000010000000}"/>
    <cellStyle name="Normal 6" xfId="19" xr:uid="{00000000-0005-0000-0000-00003D000000}"/>
    <cellStyle name="Percent" xfId="18" builtinId="5"/>
    <cellStyle name="Percent 2" xfId="13" xr:uid="{00000000-0005-0000-0000-000011000000}"/>
  </cellStyles>
  <dxfs count="5">
    <dxf>
      <fill>
        <patternFill>
          <bgColor rgb="FFEBEBEB"/>
        </patternFill>
      </fill>
      <border>
        <left style="thick">
          <color theme="0"/>
        </left>
        <right style="thick">
          <color theme="0"/>
        </right>
        <top style="thick">
          <color theme="0"/>
        </top>
        <bottom style="thick">
          <color theme="0"/>
        </bottom>
        <vertical style="thick">
          <color theme="0"/>
        </vertical>
        <horizontal style="thick">
          <color theme="0"/>
        </horizontal>
      </border>
    </dxf>
    <dxf>
      <font>
        <color auto="1"/>
      </font>
      <fill>
        <patternFill>
          <bgColor rgb="FFF9F9F9"/>
        </patternFill>
      </fill>
      <border>
        <left style="thin">
          <color theme="0"/>
        </left>
        <right style="thin">
          <color theme="0"/>
        </right>
        <top style="thin">
          <color theme="0"/>
        </top>
        <bottom style="thin">
          <color theme="0"/>
        </bottom>
        <vertical style="thick">
          <color theme="0"/>
        </vertical>
        <horizontal style="thick">
          <color theme="0"/>
        </horizontal>
      </border>
    </dxf>
    <dxf>
      <font>
        <b/>
        <i val="0"/>
        <color theme="0"/>
      </font>
      <fill>
        <patternFill>
          <bgColor rgb="FF55585A"/>
        </patternFill>
      </fill>
      <border>
        <left style="thick">
          <color theme="0"/>
        </left>
        <right style="thick">
          <color theme="0"/>
        </right>
        <top style="thick">
          <color theme="0"/>
        </top>
        <bottom style="thick">
          <color theme="0"/>
        </bottom>
        <vertical style="thick">
          <color theme="0"/>
        </vertical>
        <horizontal style="thick">
          <color theme="0"/>
        </horizontal>
      </border>
    </dxf>
    <dxf>
      <font>
        <b/>
        <i val="0"/>
        <color theme="0"/>
      </font>
      <fill>
        <patternFill>
          <bgColor rgb="FF232425"/>
        </patternFill>
      </fill>
      <border>
        <left style="thick">
          <color theme="0"/>
        </left>
        <right style="thick">
          <color theme="0"/>
        </right>
        <top style="thick">
          <color theme="0"/>
        </top>
        <bottom style="thick">
          <color theme="0"/>
        </bottom>
        <vertical style="thick">
          <color theme="0"/>
        </vertical>
        <horizontal style="thick">
          <color theme="0"/>
        </horizontal>
      </border>
    </dxf>
    <dxf>
      <border>
        <bottom style="thin">
          <color auto="1"/>
        </bottom>
      </border>
    </dxf>
  </dxfs>
  <tableStyles count="1" defaultTableStyle="INREV Data" defaultPivotStyle="PivotStyleLight16">
    <tableStyle name="INREV Data" pivot="0" count="5" xr9:uid="{00000000-0011-0000-FFFF-FFFF00000000}">
      <tableStyleElement type="wholeTable" dxfId="4"/>
      <tableStyleElement type="headerRow" dxfId="3"/>
      <tableStyleElement type="totalRow" dxfId="2"/>
      <tableStyleElement type="firstRowStripe" dxfId="1"/>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55585A"/>
      <rgbColor rgb="0000FF00"/>
      <rgbColor rgb="007C7FAB"/>
      <rgbColor rgb="00FFFF00"/>
      <rgbColor rgb="00F2F2F2"/>
      <rgbColor rgb="0000FFFF"/>
      <rgbColor rgb="00232425"/>
      <rgbColor rgb="00C6A1CF"/>
      <rgbColor rgb="0091D6AC"/>
      <rgbColor rgb="00582C83"/>
      <rgbColor rgb="00800080"/>
      <rgbColor rgb="00ECA154"/>
      <rgbColor rgb="00C0C0C0"/>
      <rgbColor rgb="00956C58"/>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FFFF"/>
      <rgbColor rgb="00CC99FF"/>
      <rgbColor rgb="00FFCC99"/>
      <rgbColor rgb="003366FF"/>
      <rgbColor rgb="0033CCCC"/>
      <rgbColor rgb="0099CC00"/>
      <rgbColor rgb="00FFCC00"/>
      <rgbColor rgb="00EFDF00"/>
      <rgbColor rgb="004F758B"/>
      <rgbColor rgb="00FC4C02"/>
      <rgbColor rgb="00969696"/>
      <rgbColor rgb="00008675"/>
      <rgbColor rgb="00339966"/>
      <rgbColor rgb="006CC24A"/>
      <rgbColor rgb="0059CBE8"/>
      <rgbColor rgb="000033A0"/>
      <rgbColor rgb="00993366"/>
      <rgbColor rgb="00009CA6"/>
      <rgbColor rgb="002AD2C9"/>
    </indexedColors>
    <mruColors>
      <color rgb="FF59CBE8"/>
      <color rgb="FFFC4C02"/>
      <color rgb="FF232425"/>
      <color rgb="FFECA154"/>
      <color rgb="FF55585A"/>
      <color rgb="FF91D6AC"/>
      <color rgb="FF956C58"/>
      <color rgb="FFC6A1CF"/>
      <color rgb="FF008675"/>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ffice Theme">
  <a:themeElements>
    <a:clrScheme name="INREV">
      <a:dk1>
        <a:srgbClr val="232425"/>
      </a:dk1>
      <a:lt1>
        <a:sysClr val="window" lastClr="FFFFFF"/>
      </a:lt1>
      <a:dk2>
        <a:srgbClr val="55585A"/>
      </a:dk2>
      <a:lt2>
        <a:srgbClr val="F2F2F2"/>
      </a:lt2>
      <a:accent1>
        <a:srgbClr val="0033A0"/>
      </a:accent1>
      <a:accent2>
        <a:srgbClr val="59CBE8"/>
      </a:accent2>
      <a:accent3>
        <a:srgbClr val="6CC24A"/>
      </a:accent3>
      <a:accent4>
        <a:srgbClr val="008675"/>
      </a:accent4>
      <a:accent5>
        <a:srgbClr val="91D6AC"/>
      </a:accent5>
      <a:accent6>
        <a:srgbClr val="009CA6"/>
      </a:accent6>
      <a:hlink>
        <a:srgbClr val="2AD2C9"/>
      </a:hlink>
      <a:folHlink>
        <a:srgbClr val="800080"/>
      </a:folHlink>
    </a:clrScheme>
    <a:fontScheme name="INREV">
      <a:majorFont>
        <a:latin typeface="Open Sans"/>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nrev.org/market-information/german-vehicles-annual-index" TargetMode="External"/><Relationship Id="rId13" Type="http://schemas.openxmlformats.org/officeDocument/2006/relationships/hyperlink" Target="https://www.inrev.org/library/inrev-asset-level-quarterly-index" TargetMode="External"/><Relationship Id="rId3" Type="http://schemas.openxmlformats.org/officeDocument/2006/relationships/hyperlink" Target="https://www.inrev.org/library/inrev-quarterly-index" TargetMode="External"/><Relationship Id="rId7" Type="http://schemas.openxmlformats.org/officeDocument/2006/relationships/hyperlink" Target="https://www.inrev.org/market-information/german-vehicles-annual-index" TargetMode="External"/><Relationship Id="rId12" Type="http://schemas.openxmlformats.org/officeDocument/2006/relationships/hyperlink" Target="https://www.inrev.org/library/inrev-asset-level-annual-index" TargetMode="External"/><Relationship Id="rId2" Type="http://schemas.openxmlformats.org/officeDocument/2006/relationships/hyperlink" Target="https://www.inrev.org/market-information/inrev-annual-index" TargetMode="External"/><Relationship Id="rId1" Type="http://schemas.openxmlformats.org/officeDocument/2006/relationships/hyperlink" Target="https://data.inrev.org/login" TargetMode="External"/><Relationship Id="rId6" Type="http://schemas.openxmlformats.org/officeDocument/2006/relationships/hyperlink" Target="https://www.inrev.org/market-information/german-vehicles-annual-index" TargetMode="External"/><Relationship Id="rId11" Type="http://schemas.openxmlformats.org/officeDocument/2006/relationships/hyperlink" Target="https://www.inrev.org/library/european-odce-quarterly-index" TargetMode="External"/><Relationship Id="rId5" Type="http://schemas.openxmlformats.org/officeDocument/2006/relationships/hyperlink" Target="https://www.inrev.org/library/global-real-estate-fund-index-grefi-quarterly" TargetMode="External"/><Relationship Id="rId15" Type="http://schemas.openxmlformats.org/officeDocument/2006/relationships/printerSettings" Target="../printerSettings/printerSettings1.bin"/><Relationship Id="rId10" Type="http://schemas.openxmlformats.org/officeDocument/2006/relationships/hyperlink" Target="https://www.inrev.org/library/european-odce-annual-index" TargetMode="External"/><Relationship Id="rId4" Type="http://schemas.openxmlformats.org/officeDocument/2006/relationships/hyperlink" Target="https://www.inrev.org/library/global-real-estate-fund-index-grefi-quarterly" TargetMode="External"/><Relationship Id="rId9" Type="http://schemas.openxmlformats.org/officeDocument/2006/relationships/hyperlink" Target="https://www.inrev.org/market-information/german-vehicles-annual-index" TargetMode="External"/><Relationship Id="rId14" Type="http://schemas.openxmlformats.org/officeDocument/2006/relationships/hyperlink" Target="https://www.inrev.org/system/files/2019-05/INREV-Index-Guide-2019.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italiy.tonenchuk@inrev.org" TargetMode="External"/><Relationship Id="rId7" Type="http://schemas.openxmlformats.org/officeDocument/2006/relationships/hyperlink" Target="mailto:jose.monsalve@inrev.org" TargetMode="External"/><Relationship Id="rId2" Type="http://schemas.openxmlformats.org/officeDocument/2006/relationships/hyperlink" Target="mailto:henri.vuong@inrev.org" TargetMode="External"/><Relationship Id="rId1" Type="http://schemas.openxmlformats.org/officeDocument/2006/relationships/hyperlink" Target="mailto:researchgroup@inrev.org" TargetMode="External"/><Relationship Id="rId6" Type="http://schemas.openxmlformats.org/officeDocument/2006/relationships/hyperlink" Target="mailto:ivaylo.stoyanov@inrev.org" TargetMode="External"/><Relationship Id="rId5" Type="http://schemas.openxmlformats.org/officeDocument/2006/relationships/hyperlink" Target="mailto:connor.vanleeuwen@inrev.org" TargetMode="External"/><Relationship Id="rId4" Type="http://schemas.openxmlformats.org/officeDocument/2006/relationships/hyperlink" Target="mailto:edgar.orlovskis@inrev.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rev.org/guidelines/module/inrev-performance-measuremen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rev.org/guidelines/module/inrev-performance-measuremen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nrev.org/guidelines/module/inrev-performance-measuremen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nrev.org/guidelines/module/inrev-performance-measurement"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nrev.org/guidelines/module/inrev-performance-measurement"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inrev.org/guidelines/module/inrev-performance-measurement"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inrev.org/guidelines/module/inrev-performance-measurement"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inrev.org/guidelines/module/inrev-performance-measure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C4C02"/>
  </sheetPr>
  <dimension ref="B1:D24"/>
  <sheetViews>
    <sheetView showGridLines="0" tabSelected="1" zoomScaleNormal="100" zoomScalePageLayoutView="90" workbookViewId="0">
      <selection activeCell="C10" sqref="C10"/>
    </sheetView>
  </sheetViews>
  <sheetFormatPr defaultColWidth="8.7109375" defaultRowHeight="15" customHeight="1" x14ac:dyDescent="0.2"/>
  <cols>
    <col min="1" max="1" width="7.28515625" style="131" customWidth="1"/>
    <col min="2" max="2" width="8.7109375" style="131"/>
    <col min="3" max="3" width="147.140625" style="131" customWidth="1"/>
    <col min="4" max="4" width="15.42578125" style="131" bestFit="1" customWidth="1"/>
    <col min="5" max="16384" width="8.7109375" style="131"/>
  </cols>
  <sheetData>
    <row r="1" spans="2:3" s="130" customFormat="1" ht="34.9" customHeight="1" x14ac:dyDescent="0.2">
      <c r="B1" s="129" t="s">
        <v>0</v>
      </c>
    </row>
    <row r="5" spans="2:3" ht="15" customHeight="1" x14ac:dyDescent="0.2">
      <c r="C5" s="136" t="s">
        <v>1</v>
      </c>
    </row>
    <row r="6" spans="2:3" ht="15" customHeight="1" x14ac:dyDescent="0.2">
      <c r="C6" s="136"/>
    </row>
    <row r="7" spans="2:3" ht="27" customHeight="1" x14ac:dyDescent="0.2">
      <c r="C7" s="137" t="s">
        <v>2</v>
      </c>
    </row>
    <row r="8" spans="2:3" s="138" customFormat="1" ht="18.75" customHeight="1" x14ac:dyDescent="0.2">
      <c r="C8" s="139" t="s">
        <v>3</v>
      </c>
    </row>
    <row r="9" spans="2:3" s="138" customFormat="1" ht="18.75" customHeight="1" x14ac:dyDescent="0.2">
      <c r="C9" s="139" t="s">
        <v>4</v>
      </c>
    </row>
    <row r="10" spans="2:3" s="138" customFormat="1" ht="18.75" customHeight="1" x14ac:dyDescent="0.2">
      <c r="C10" s="139" t="s">
        <v>5</v>
      </c>
    </row>
    <row r="11" spans="2:3" s="138" customFormat="1" ht="18.75" customHeight="1" x14ac:dyDescent="0.2">
      <c r="C11" s="139" t="s">
        <v>6</v>
      </c>
    </row>
    <row r="12" spans="2:3" s="138" customFormat="1" ht="18.75" customHeight="1" x14ac:dyDescent="0.2">
      <c r="C12" s="139" t="s">
        <v>7</v>
      </c>
    </row>
    <row r="13" spans="2:3" s="138" customFormat="1" ht="18.75" customHeight="1" x14ac:dyDescent="0.2">
      <c r="C13" s="139" t="s">
        <v>8</v>
      </c>
    </row>
    <row r="14" spans="2:3" s="138" customFormat="1" ht="18.75" customHeight="1" x14ac:dyDescent="0.2">
      <c r="C14" s="139" t="s">
        <v>9</v>
      </c>
    </row>
    <row r="15" spans="2:3" s="138" customFormat="1" ht="18.75" customHeight="1" x14ac:dyDescent="0.2">
      <c r="C15" s="139" t="s">
        <v>10</v>
      </c>
    </row>
    <row r="16" spans="2:3" s="138" customFormat="1" ht="18.75" customHeight="1" x14ac:dyDescent="0.2">
      <c r="C16" s="139" t="s">
        <v>11</v>
      </c>
    </row>
    <row r="17" spans="3:4" s="138" customFormat="1" ht="18.75" customHeight="1" x14ac:dyDescent="0.2">
      <c r="C17" s="139" t="s">
        <v>12</v>
      </c>
    </row>
    <row r="18" spans="3:4" s="138" customFormat="1" ht="18.75" customHeight="1" x14ac:dyDescent="0.2">
      <c r="C18" s="139" t="s">
        <v>13</v>
      </c>
    </row>
    <row r="19" spans="3:4" s="138" customFormat="1" ht="18.75" customHeight="1" x14ac:dyDescent="0.2">
      <c r="C19" s="139" t="s">
        <v>14</v>
      </c>
    </row>
    <row r="20" spans="3:4" ht="21.75" customHeight="1" x14ac:dyDescent="0.2">
      <c r="C20" s="135" t="s">
        <v>15</v>
      </c>
    </row>
    <row r="21" spans="3:4" s="133" customFormat="1" ht="16.5" customHeight="1" x14ac:dyDescent="0.2">
      <c r="C21" s="132" t="s">
        <v>16</v>
      </c>
      <c r="D21" s="132"/>
    </row>
    <row r="22" spans="3:4" ht="15" customHeight="1" x14ac:dyDescent="0.2">
      <c r="C22" s="132"/>
      <c r="D22" s="132"/>
    </row>
    <row r="23" spans="3:4" ht="15" customHeight="1" x14ac:dyDescent="0.2">
      <c r="C23" s="132"/>
      <c r="D23" s="132"/>
    </row>
    <row r="24" spans="3:4" ht="15" customHeight="1" x14ac:dyDescent="0.2">
      <c r="C24" s="134"/>
      <c r="D24" s="134"/>
    </row>
  </sheetData>
  <hyperlinks>
    <hyperlink ref="C21" r:id="rId1" display="https://data.inrev.org/login" xr:uid="{BE4EFE9E-FB51-40C0-8D60-1EEAF2F31C0E}"/>
    <hyperlink ref="C8" r:id="rId2" xr:uid="{2E1B4133-CDE0-4BFA-BF4E-17F4D19F6566}"/>
    <hyperlink ref="C9" r:id="rId3" xr:uid="{98322859-E1DA-4016-82D0-1DD7A4B34181}"/>
    <hyperlink ref="C10" r:id="rId4" xr:uid="{8DEC0001-E2F9-428B-8368-9113E46A2BD3}"/>
    <hyperlink ref="C11" r:id="rId5" xr:uid="{F110F289-B0E0-4846-A80F-34D24B4B1D9C}"/>
    <hyperlink ref="C12" r:id="rId6" xr:uid="{BE8F6B0A-B316-48FD-B89A-F38443226A3D}"/>
    <hyperlink ref="C13" r:id="rId7" xr:uid="{395F49EE-1FD4-47A3-B05D-82823E3AB820}"/>
    <hyperlink ref="C14" r:id="rId8" xr:uid="{D1EAA553-1C4B-4072-B150-B10CDBC090EA}"/>
    <hyperlink ref="C15" r:id="rId9" xr:uid="{CB25D063-6834-4F14-A753-8C4460F38C64}"/>
    <hyperlink ref="C16" r:id="rId10" xr:uid="{FA1E0E28-2321-4FB5-B7B4-12412A549713}"/>
    <hyperlink ref="C17" r:id="rId11" xr:uid="{81DAB907-AF6B-4C1B-A8E9-8B7E2792B981}"/>
    <hyperlink ref="C18" r:id="rId12" xr:uid="{8A9F214A-F776-4621-87D8-80F760331D2C}"/>
    <hyperlink ref="C19" r:id="rId13" xr:uid="{58F61BC5-0B69-4A95-909B-DEE055AC8F44}"/>
    <hyperlink ref="B1" location="Frontpage!A1" display="INREV Research and Market Information team contact details" xr:uid="{049A21CF-2B9D-4D7E-978C-2F011983877E}"/>
    <hyperlink ref="C5" r:id="rId14" display="The Index Calculation Guide Excel workbook is a supplement to the Index Guide report for INREV Indices and provides examples on how to calculate performance" xr:uid="{1A1CEA5A-EAF3-421E-B5D3-7EFDE08F65E3}"/>
  </hyperlinks>
  <pageMargins left="0.7" right="0.7" top="0.75" bottom="0.75" header="0.3" footer="0.3"/>
  <pageSetup paperSize="9" orientation="portrait" verticalDpi="0" r:id="rId1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C4C02"/>
  </sheetPr>
  <dimension ref="B1:D15"/>
  <sheetViews>
    <sheetView showGridLines="0" topLeftCell="A7" zoomScaleNormal="100" workbookViewId="0"/>
  </sheetViews>
  <sheetFormatPr defaultColWidth="8.7109375" defaultRowHeight="12.75" x14ac:dyDescent="0.2"/>
  <cols>
    <col min="1" max="1" width="7.28515625" customWidth="1"/>
    <col min="2" max="2" width="19.7109375" customWidth="1"/>
    <col min="3" max="3" width="38.28515625" bestFit="1" customWidth="1"/>
    <col min="4" max="4" width="11.28515625" customWidth="1"/>
    <col min="5" max="5" width="18.42578125" customWidth="1"/>
  </cols>
  <sheetData>
    <row r="1" spans="2:4" s="1" customFormat="1" ht="34.9" customHeight="1" x14ac:dyDescent="0.2">
      <c r="B1" s="8" t="s">
        <v>17</v>
      </c>
    </row>
    <row r="5" spans="2:4" x14ac:dyDescent="0.2">
      <c r="B5" s="3" t="s">
        <v>18</v>
      </c>
    </row>
    <row r="6" spans="2:4" x14ac:dyDescent="0.2">
      <c r="B6" s="3"/>
    </row>
    <row r="7" spans="2:4" ht="14.25" x14ac:dyDescent="0.2">
      <c r="B7" s="9" t="s">
        <v>19</v>
      </c>
      <c r="D7" s="127" t="s">
        <v>20</v>
      </c>
    </row>
    <row r="8" spans="2:4" ht="15" x14ac:dyDescent="0.25">
      <c r="B8" s="9"/>
      <c r="D8" s="5"/>
    </row>
    <row r="9" spans="2:4" ht="14.25" x14ac:dyDescent="0.2">
      <c r="B9" s="97" t="s">
        <v>21</v>
      </c>
      <c r="C9" s="97" t="s">
        <v>22</v>
      </c>
      <c r="D9" s="127" t="s">
        <v>23</v>
      </c>
    </row>
    <row r="10" spans="2:4" ht="14.25" x14ac:dyDescent="0.2">
      <c r="B10" s="97" t="s">
        <v>24</v>
      </c>
      <c r="C10" s="97" t="s">
        <v>25</v>
      </c>
      <c r="D10" s="127" t="s">
        <v>26</v>
      </c>
    </row>
    <row r="11" spans="2:4" ht="14.25" x14ac:dyDescent="0.2">
      <c r="B11" s="97" t="s">
        <v>27</v>
      </c>
      <c r="C11" s="97" t="s">
        <v>28</v>
      </c>
      <c r="D11" s="127" t="s">
        <v>29</v>
      </c>
    </row>
    <row r="12" spans="2:4" ht="14.25" x14ac:dyDescent="0.2">
      <c r="B12" s="97" t="s">
        <v>30</v>
      </c>
      <c r="C12" s="97" t="s">
        <v>31</v>
      </c>
      <c r="D12" s="127" t="s">
        <v>32</v>
      </c>
    </row>
    <row r="13" spans="2:4" ht="14.25" x14ac:dyDescent="0.2">
      <c r="B13" s="97" t="s">
        <v>33</v>
      </c>
      <c r="C13" s="97" t="s">
        <v>34</v>
      </c>
      <c r="D13" s="127" t="s">
        <v>35</v>
      </c>
    </row>
    <row r="14" spans="2:4" ht="14.25" x14ac:dyDescent="0.2">
      <c r="B14" s="97" t="s">
        <v>36</v>
      </c>
      <c r="C14" s="97" t="s">
        <v>31</v>
      </c>
      <c r="D14" s="127" t="s">
        <v>37</v>
      </c>
    </row>
    <row r="15" spans="2:4" ht="14.25" x14ac:dyDescent="0.2">
      <c r="B15" s="97" t="s">
        <v>38</v>
      </c>
      <c r="C15" s="97" t="s">
        <v>31</v>
      </c>
      <c r="D15" s="127" t="s">
        <v>39</v>
      </c>
    </row>
  </sheetData>
  <hyperlinks>
    <hyperlink ref="D7" r:id="rId1" xr:uid="{00000000-0004-0000-0000-000000000000}"/>
    <hyperlink ref="B1" location="Frontpage!A1" display="INREV Research and Market Information team contact details" xr:uid="{00000000-0004-0000-0000-000001000000}"/>
    <hyperlink ref="D9" r:id="rId2" xr:uid="{02F3F8D5-A89A-4E5D-A97E-E3E2600C686F}"/>
    <hyperlink ref="D10" r:id="rId3" xr:uid="{C735119F-2AFD-4A60-A4C2-408AD4814D64}"/>
    <hyperlink ref="D11" r:id="rId4" xr:uid="{332608DC-4AFF-4CB4-A6B4-10A743BB0D53}"/>
    <hyperlink ref="D12" r:id="rId5" xr:uid="{62193CB3-BDFC-45E4-9CD2-388758D1E5F1}"/>
    <hyperlink ref="D13" r:id="rId6" xr:uid="{B57F84E5-F48F-41B1-855B-C84A22FE10D2}"/>
    <hyperlink ref="D14" r:id="rId7" xr:uid="{6D88A0C3-51D1-4875-BDF9-A29BC283B052}"/>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C4C02"/>
  </sheetPr>
  <dimension ref="A1:G70"/>
  <sheetViews>
    <sheetView showGridLines="0" zoomScaleNormal="100" zoomScalePageLayoutView="85" workbookViewId="0">
      <selection activeCell="C6" sqref="C6"/>
    </sheetView>
  </sheetViews>
  <sheetFormatPr defaultColWidth="8.7109375" defaultRowHeight="12.75" x14ac:dyDescent="0.2"/>
  <cols>
    <col min="1" max="1" width="7.28515625" style="7" customWidth="1"/>
    <col min="2" max="2" width="25.28515625" bestFit="1" customWidth="1"/>
    <col min="3" max="3" width="55.7109375" bestFit="1" customWidth="1"/>
    <col min="4" max="4" width="44.5703125" bestFit="1" customWidth="1"/>
  </cols>
  <sheetData>
    <row r="1" spans="1:7" s="1" customFormat="1" ht="34.9" customHeight="1" x14ac:dyDescent="0.2">
      <c r="A1" s="6"/>
      <c r="B1" s="2" t="str">
        <f ca="1">MID(CELL("filename",A1),FIND("]",CELL("filename",A1))+ 1,255)</f>
        <v>Table of Contents</v>
      </c>
    </row>
    <row r="5" spans="1:7" x14ac:dyDescent="0.2">
      <c r="B5" s="4"/>
      <c r="C5" s="4" t="s">
        <v>40</v>
      </c>
      <c r="D5" s="4" t="s">
        <v>41</v>
      </c>
      <c r="E5" s="56"/>
      <c r="F5" s="56"/>
      <c r="G5" s="56"/>
    </row>
    <row r="6" spans="1:7" ht="15" x14ac:dyDescent="0.25">
      <c r="B6" t="s">
        <v>42</v>
      </c>
      <c r="C6" s="140" t="s">
        <v>43</v>
      </c>
      <c r="D6" t="str">
        <f ca="1">INDIRECT(CONCATENATE("'",C6,"'!B1"))</f>
        <v>Single year return 2010 - calculation example</v>
      </c>
    </row>
    <row r="7" spans="1:7" ht="15" x14ac:dyDescent="0.25">
      <c r="C7" s="140" t="s">
        <v>44</v>
      </c>
      <c r="D7" t="str">
        <f t="shared" ref="D7:D29" ca="1" si="0">INDIRECT(CONCATENATE("'",C7,"'!B1"))</f>
        <v>Single year return 2011 - calculation example</v>
      </c>
    </row>
    <row r="8" spans="1:7" ht="15" x14ac:dyDescent="0.25">
      <c r="C8" s="140" t="s">
        <v>45</v>
      </c>
      <c r="D8" t="str">
        <f t="shared" ca="1" si="0"/>
        <v>Single year return 2012 - calculation example</v>
      </c>
    </row>
    <row r="9" spans="1:7" ht="15" x14ac:dyDescent="0.25">
      <c r="C9" s="140" t="s">
        <v>46</v>
      </c>
      <c r="D9" t="str">
        <f t="shared" ca="1" si="0"/>
        <v>Multi year index figures - calculation example</v>
      </c>
    </row>
    <row r="10" spans="1:7" ht="15" x14ac:dyDescent="0.25">
      <c r="C10" s="140" t="s">
        <v>47</v>
      </c>
      <c r="D10" t="str">
        <f t="shared" ca="1" si="0"/>
        <v>Multi year two funds - calculation example</v>
      </c>
    </row>
    <row r="11" spans="1:7" ht="15" x14ac:dyDescent="0.25">
      <c r="C11" s="140" t="s">
        <v>48</v>
      </c>
      <c r="D11" t="str">
        <f t="shared" ca="1" si="0"/>
        <v>Multi year index two funds - calculation example</v>
      </c>
    </row>
    <row r="12" spans="1:7" ht="15" x14ac:dyDescent="0.25">
      <c r="C12" s="140"/>
    </row>
    <row r="13" spans="1:7" ht="15" x14ac:dyDescent="0.25">
      <c r="B13" t="s">
        <v>49</v>
      </c>
      <c r="C13" s="140" t="s">
        <v>50</v>
      </c>
      <c r="D13" t="str">
        <f t="shared" ca="1" si="0"/>
        <v>Quarterly return 2010 - calculation example</v>
      </c>
    </row>
    <row r="14" spans="1:7" ht="15" x14ac:dyDescent="0.25">
      <c r="B14" s="5"/>
      <c r="C14" s="140" t="s">
        <v>51</v>
      </c>
      <c r="D14" t="str">
        <f t="shared" ca="1" si="0"/>
        <v>Quarterly return 2011 - calculation example</v>
      </c>
    </row>
    <row r="15" spans="1:7" ht="15" x14ac:dyDescent="0.25">
      <c r="B15" s="5"/>
      <c r="C15" s="140" t="s">
        <v>52</v>
      </c>
      <c r="D15" t="str">
        <f t="shared" ca="1" si="0"/>
        <v>Quarterly return 2012 - calculation example</v>
      </c>
    </row>
    <row r="16" spans="1:7" ht="15" x14ac:dyDescent="0.25">
      <c r="B16" s="5"/>
      <c r="C16" s="140" t="s">
        <v>53</v>
      </c>
      <c r="D16" t="str">
        <f t="shared" ca="1" si="0"/>
        <v>Four quarters rolling return - calculation example</v>
      </c>
    </row>
    <row r="17" spans="2:4" ht="15" x14ac:dyDescent="0.25">
      <c r="B17" s="5"/>
      <c r="C17" s="140" t="s">
        <v>54</v>
      </c>
      <c r="D17" t="str">
        <f t="shared" ca="1" si="0"/>
        <v>Three year annualised return - calculation example</v>
      </c>
    </row>
    <row r="18" spans="2:4" ht="15" x14ac:dyDescent="0.25">
      <c r="B18" s="5"/>
      <c r="C18" s="140" t="s">
        <v>55</v>
      </c>
      <c r="D18" t="str">
        <f t="shared" ca="1" si="0"/>
        <v>Three year compounded return - calculation example</v>
      </c>
    </row>
    <row r="19" spans="2:4" ht="15" x14ac:dyDescent="0.25">
      <c r="B19" s="5"/>
      <c r="C19" s="140" t="s">
        <v>56</v>
      </c>
      <c r="D19" t="str">
        <f t="shared" ca="1" si="0"/>
        <v>Quarterly multi year two funds - calculation example</v>
      </c>
    </row>
    <row r="20" spans="2:4" ht="15" x14ac:dyDescent="0.25">
      <c r="B20" s="5"/>
      <c r="C20" s="141"/>
    </row>
    <row r="21" spans="2:4" ht="15" x14ac:dyDescent="0.25">
      <c r="B21" t="s">
        <v>57</v>
      </c>
      <c r="C21" s="140" t="s">
        <v>58</v>
      </c>
      <c r="D21" t="str">
        <f t="shared" ca="1" si="0"/>
        <v>Country and sector allocation - calculation example</v>
      </c>
    </row>
    <row r="22" spans="2:4" ht="15" x14ac:dyDescent="0.25">
      <c r="B22" s="5"/>
      <c r="C22" s="141"/>
    </row>
    <row r="23" spans="2:4" ht="15" x14ac:dyDescent="0.25">
      <c r="B23" t="s">
        <v>59</v>
      </c>
      <c r="C23" s="140" t="s">
        <v>60</v>
      </c>
      <c r="D23" t="str">
        <f t="shared" ca="1" si="0"/>
        <v>Currency conversion - NAV calculation example</v>
      </c>
    </row>
    <row r="24" spans="2:4" ht="15" x14ac:dyDescent="0.25">
      <c r="B24" s="5"/>
      <c r="C24" s="140" t="s">
        <v>61</v>
      </c>
      <c r="D24" t="str">
        <f t="shared" ca="1" si="0"/>
        <v>Currency conversion - cashflows calculation example</v>
      </c>
    </row>
    <row r="25" spans="2:4" ht="15" x14ac:dyDescent="0.25">
      <c r="B25" s="5"/>
      <c r="C25" s="140" t="s">
        <v>62</v>
      </c>
      <c r="D25" t="str">
        <f t="shared" ca="1" si="0"/>
        <v>Currency conversion - returns calculation example</v>
      </c>
    </row>
    <row r="26" spans="2:4" ht="15" x14ac:dyDescent="0.25">
      <c r="B26" s="5"/>
      <c r="C26" s="140" t="s">
        <v>63</v>
      </c>
      <c r="D26" t="s">
        <v>64</v>
      </c>
    </row>
    <row r="27" spans="2:4" ht="15" x14ac:dyDescent="0.25">
      <c r="B27" s="5"/>
      <c r="C27" s="140" t="s">
        <v>65</v>
      </c>
      <c r="D27" t="s">
        <v>66</v>
      </c>
    </row>
    <row r="28" spans="2:4" ht="15" x14ac:dyDescent="0.25">
      <c r="B28" s="5"/>
      <c r="C28" s="140"/>
    </row>
    <row r="29" spans="2:4" ht="15" x14ac:dyDescent="0.25">
      <c r="B29" s="5"/>
      <c r="C29" s="140" t="s">
        <v>67</v>
      </c>
      <c r="D29" t="str">
        <f t="shared" ca="1" si="0"/>
        <v>Local currency conversion - calculation example</v>
      </c>
    </row>
    <row r="30" spans="2:4" ht="15" x14ac:dyDescent="0.25">
      <c r="B30" s="5"/>
      <c r="C30" s="141"/>
    </row>
    <row r="31" spans="2:4" ht="15" x14ac:dyDescent="0.25">
      <c r="B31" s="5"/>
      <c r="C31" s="141"/>
    </row>
    <row r="32" spans="2:4" ht="15" x14ac:dyDescent="0.25">
      <c r="B32" s="5"/>
    </row>
    <row r="33" spans="2:3" ht="15" x14ac:dyDescent="0.25">
      <c r="B33" s="5"/>
    </row>
    <row r="34" spans="2:3" ht="15" x14ac:dyDescent="0.25">
      <c r="B34" s="5"/>
    </row>
    <row r="35" spans="2:3" ht="15" x14ac:dyDescent="0.25">
      <c r="B35" s="5"/>
    </row>
    <row r="36" spans="2:3" ht="15" x14ac:dyDescent="0.25">
      <c r="B36" s="5"/>
    </row>
    <row r="37" spans="2:3" ht="15" x14ac:dyDescent="0.25">
      <c r="B37" s="5"/>
    </row>
    <row r="38" spans="2:3" ht="15" x14ac:dyDescent="0.25">
      <c r="B38" s="5"/>
    </row>
    <row r="39" spans="2:3" ht="15" x14ac:dyDescent="0.25">
      <c r="B39" s="5"/>
    </row>
    <row r="40" spans="2:3" ht="15" x14ac:dyDescent="0.25">
      <c r="B40" s="5"/>
    </row>
    <row r="41" spans="2:3" ht="15" x14ac:dyDescent="0.25">
      <c r="B41" s="5"/>
    </row>
    <row r="42" spans="2:3" ht="15" x14ac:dyDescent="0.25">
      <c r="B42" s="5"/>
    </row>
    <row r="43" spans="2:3" ht="15" x14ac:dyDescent="0.25">
      <c r="B43" s="5"/>
    </row>
    <row r="44" spans="2:3" ht="15" x14ac:dyDescent="0.25">
      <c r="B44" s="5"/>
    </row>
    <row r="45" spans="2:3" ht="15" x14ac:dyDescent="0.25">
      <c r="B45" s="5"/>
    </row>
    <row r="46" spans="2:3" ht="15" x14ac:dyDescent="0.25">
      <c r="B46" s="5"/>
    </row>
    <row r="47" spans="2:3" ht="15" x14ac:dyDescent="0.25">
      <c r="B47" s="5"/>
      <c r="C47" t="str">
        <f t="shared" ref="C47:C48" ca="1" si="1">IFERROR(INDIRECT("'"&amp;B47&amp;"'!e1"),"")</f>
        <v/>
      </c>
    </row>
    <row r="48" spans="2:3" ht="15" x14ac:dyDescent="0.25">
      <c r="B48" s="5"/>
      <c r="C48" t="str">
        <f t="shared" ca="1" si="1"/>
        <v/>
      </c>
    </row>
    <row r="49" spans="2:3" ht="15" x14ac:dyDescent="0.25">
      <c r="B49" s="5"/>
    </row>
    <row r="50" spans="2:3" ht="15" x14ac:dyDescent="0.25">
      <c r="B50" s="5"/>
    </row>
    <row r="51" spans="2:3" ht="15" x14ac:dyDescent="0.25">
      <c r="B51" s="5"/>
    </row>
    <row r="52" spans="2:3" ht="15" x14ac:dyDescent="0.25">
      <c r="B52" s="5"/>
    </row>
    <row r="53" spans="2:3" ht="15" x14ac:dyDescent="0.25">
      <c r="B53" s="5"/>
    </row>
    <row r="54" spans="2:3" ht="15" x14ac:dyDescent="0.25">
      <c r="B54" s="5"/>
    </row>
    <row r="55" spans="2:3" ht="15" x14ac:dyDescent="0.25">
      <c r="B55" s="5"/>
      <c r="C55" t="str">
        <f t="shared" ref="C55:C57" ca="1" si="2">IFERROR(INDIRECT("'"&amp;B55&amp;"'!e1"),"")</f>
        <v/>
      </c>
    </row>
    <row r="56" spans="2:3" ht="15" x14ac:dyDescent="0.25">
      <c r="B56" s="5"/>
      <c r="C56" t="str">
        <f t="shared" ca="1" si="2"/>
        <v/>
      </c>
    </row>
    <row r="57" spans="2:3" ht="15" x14ac:dyDescent="0.25">
      <c r="B57" s="5"/>
      <c r="C57" t="str">
        <f t="shared" ca="1" si="2"/>
        <v/>
      </c>
    </row>
    <row r="70" spans="2:2" ht="15" x14ac:dyDescent="0.25">
      <c r="B70" s="5"/>
    </row>
  </sheetData>
  <hyperlinks>
    <hyperlink ref="C6" location="'Single year return 2010'!A1" display="Single year return 2010" xr:uid="{00000000-0004-0000-0400-000000000000}"/>
    <hyperlink ref="C23" location="'Currency conversion - NAV'!A1" display="Currency conversion - NAV" xr:uid="{BFD13F83-56A2-4F22-97EE-7B2F17334E54}"/>
    <hyperlink ref="C24" location="'Currency conversion - cashflows'!A1" display="Currency conversion - cashflows" xr:uid="{716D1853-7C29-4D31-AA8E-B7F5FDEFE321}"/>
    <hyperlink ref="C25" location="'Currency conversion - returns'!A1" display="Currency conversion - returns" xr:uid="{B60C8895-04F6-40EA-9F4D-AFD9212F8E84}"/>
    <hyperlink ref="C29" location="'Local currency conversion'!A1" display="Local currency conversion" xr:uid="{9EBF6432-FB2C-404E-AD31-6D1B0CD161CF}"/>
    <hyperlink ref="C7" location="'Single year return 2011'!A1" display="Single year return 2011" xr:uid="{5C5C5DF0-13B6-4ACA-8185-9212322DBD1D}"/>
    <hyperlink ref="C8" location="'Single year return 2012'!A1" display="Single year return 2012" xr:uid="{748CC70D-6A88-4010-883F-583EA17C7B5E}"/>
    <hyperlink ref="C9" location="'Multi year index figures'!A1" display="Multi year index figures" xr:uid="{B2B8D5B9-BC1F-45B6-B3C6-D66B9B5CE5AC}"/>
    <hyperlink ref="C10" location="'Multi year two funds'!A1" display="Multi year two funds" xr:uid="{B98DEB8A-D493-4EFF-A24F-C826296ACAAB}"/>
    <hyperlink ref="C11" location="'Multi year index two funds'!A1" display="Multi year index two funds" xr:uid="{C0529569-C0F3-4325-8FD3-41B62F4DFA06}"/>
    <hyperlink ref="C13" location="'Quarterly return 2010'!A1" display="Quarterly return 2010" xr:uid="{FFE8D76E-EF33-49E1-A6AF-CF422E4D4182}"/>
    <hyperlink ref="C14" location="'Quarterly return 2011'!A1" display="Quarterly return 2011" xr:uid="{108972A9-9AF3-4D5C-9652-5116DE051FB1}"/>
    <hyperlink ref="C15" location="'Quarterly return 2012'!A1" display="Quarterly return 2012" xr:uid="{545F10FD-666C-4F69-ABD3-0AC3E6FFC419}"/>
    <hyperlink ref="C16" location="'Four quarters rolling return'!A1" display="Four quarters rolling return" xr:uid="{B0A70FA1-7BD7-45C9-8AEF-9D7AB066E028}"/>
    <hyperlink ref="C17" location="'Three year annualised return'!A1" display="Three year annualised return" xr:uid="{ACE75D62-6BAF-40C9-92C5-1D44115FDBE0}"/>
    <hyperlink ref="C18" location="'Three year compounded return'!A1" display="Three year compounded return" xr:uid="{E014C9D4-FEF5-4778-8270-B7F03490EE5E}"/>
    <hyperlink ref="C19" location="'Quarterly multi year two funds'!A1" display="Quarterly multi year two funds" xr:uid="{28B597F2-8ECD-49AD-95F0-D97146759A5D}"/>
    <hyperlink ref="C21" location="'Country and sector allocation'!A1" display="Country and sector allocation" xr:uid="{FD625176-39D9-40B2-8325-60F56FD8883A}"/>
    <hyperlink ref="C26" location="'Currency conversion - returns'!A1" display="Currency conversion - returns" xr:uid="{091897EB-107C-40D2-BB99-D3407C03785B}"/>
    <hyperlink ref="C27" location="'Currency conversion - returns'!A1" display="Currency conversion - returns" xr:uid="{FDCFE1CB-3AE6-4700-8106-8F9A5889921E}"/>
  </hyperlink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BF38E-9715-47BC-B1E0-49DD15FE923B}">
  <sheetPr>
    <tabColor theme="4"/>
  </sheetPr>
  <dimension ref="A1:R80"/>
  <sheetViews>
    <sheetView showGridLines="0" zoomScaleNormal="100" zoomScalePageLayoutView="85" workbookViewId="0">
      <pane ySplit="6" topLeftCell="A7" activePane="bottomLeft" state="frozen"/>
      <selection activeCell="B16" sqref="B16"/>
      <selection pane="bottomLeft" activeCell="B6" sqref="B6"/>
    </sheetView>
  </sheetViews>
  <sheetFormatPr defaultColWidth="8.7109375" defaultRowHeight="12.75" x14ac:dyDescent="0.2"/>
  <cols>
    <col min="1" max="1" width="7.28515625" style="7" customWidth="1"/>
    <col min="2" max="2" width="22.28515625" customWidth="1"/>
    <col min="3" max="8" width="17.7109375" customWidth="1"/>
    <col min="9" max="9" width="10.7109375" bestFit="1" customWidth="1"/>
    <col min="10" max="10" width="13.5703125" bestFit="1" customWidth="1"/>
    <col min="11" max="11" width="14" bestFit="1" customWidth="1"/>
    <col min="12" max="12" width="18.140625" bestFit="1" customWidth="1"/>
    <col min="14" max="14" width="21.7109375" bestFit="1" customWidth="1"/>
    <col min="18" max="18" width="46.28515625" bestFit="1" customWidth="1"/>
  </cols>
  <sheetData>
    <row r="1" spans="1:18" s="1" customFormat="1" ht="34.9" customHeight="1" x14ac:dyDescent="0.2">
      <c r="A1" s="6"/>
      <c r="B1" s="2" t="str">
        <f ca="1">MID(CELL("filename",A1),FIND("]",CELL("filename",A1))+ 1,255)&amp;" - calculation example"</f>
        <v>Single year return 2010 - calculation example</v>
      </c>
      <c r="H1" s="181" t="s">
        <v>68</v>
      </c>
      <c r="I1" s="181"/>
      <c r="J1" s="181"/>
      <c r="K1" s="181"/>
      <c r="L1" s="181"/>
    </row>
    <row r="3" spans="1:18" x14ac:dyDescent="0.2">
      <c r="A3"/>
    </row>
    <row r="4" spans="1:18" ht="13.15" customHeight="1" x14ac:dyDescent="0.2">
      <c r="A4"/>
      <c r="B4" s="12" t="s">
        <v>69</v>
      </c>
      <c r="C4" s="12" t="s">
        <v>70</v>
      </c>
      <c r="F4" s="180" t="s">
        <v>71</v>
      </c>
      <c r="G4" s="180"/>
    </row>
    <row r="5" spans="1:18" x14ac:dyDescent="0.2">
      <c r="A5"/>
      <c r="B5" s="12" t="s">
        <v>72</v>
      </c>
      <c r="C5" s="12" t="s">
        <v>73</v>
      </c>
      <c r="F5" s="180"/>
      <c r="G5" s="180"/>
    </row>
    <row r="6" spans="1:18" x14ac:dyDescent="0.2">
      <c r="A6"/>
      <c r="B6" s="12" t="s">
        <v>74</v>
      </c>
      <c r="C6" s="12" t="s">
        <v>75</v>
      </c>
      <c r="F6" s="180"/>
      <c r="G6" s="180"/>
    </row>
    <row r="7" spans="1:18" x14ac:dyDescent="0.2">
      <c r="A7"/>
    </row>
    <row r="8" spans="1:18" x14ac:dyDescent="0.2">
      <c r="A8"/>
    </row>
    <row r="9" spans="1:18" x14ac:dyDescent="0.2">
      <c r="A9"/>
    </row>
    <row r="10" spans="1:18" x14ac:dyDescent="0.2">
      <c r="A10"/>
      <c r="B10" s="3" t="s">
        <v>76</v>
      </c>
      <c r="F10" s="3" t="s">
        <v>77</v>
      </c>
      <c r="N10" s="3" t="s">
        <v>78</v>
      </c>
    </row>
    <row r="11" spans="1:18" x14ac:dyDescent="0.2">
      <c r="A11"/>
      <c r="B11" s="4" t="s">
        <v>79</v>
      </c>
      <c r="C11" s="4" t="s">
        <v>80</v>
      </c>
      <c r="D11" s="4" t="s">
        <v>81</v>
      </c>
      <c r="F11" s="4" t="s">
        <v>82</v>
      </c>
      <c r="G11" s="4" t="s">
        <v>79</v>
      </c>
      <c r="H11" s="4" t="s">
        <v>80</v>
      </c>
      <c r="I11" s="4" t="s">
        <v>83</v>
      </c>
      <c r="J11" s="4" t="s">
        <v>84</v>
      </c>
      <c r="K11" s="4" t="s">
        <v>85</v>
      </c>
      <c r="L11" s="4" t="s">
        <v>86</v>
      </c>
      <c r="N11" s="56"/>
      <c r="O11" s="4">
        <v>2010</v>
      </c>
      <c r="Q11" s="128" t="s">
        <v>87</v>
      </c>
      <c r="R11" s="122"/>
    </row>
    <row r="12" spans="1:18" x14ac:dyDescent="0.2">
      <c r="A12"/>
      <c r="B12" s="16">
        <v>2009</v>
      </c>
      <c r="C12" s="16">
        <v>4</v>
      </c>
      <c r="D12" s="18">
        <v>150000000</v>
      </c>
      <c r="F12" s="15">
        <v>40220</v>
      </c>
      <c r="G12" s="16">
        <f t="shared" ref="G12:G24" si="0">YEAR(F12)</f>
        <v>2010</v>
      </c>
      <c r="H12" s="16">
        <f t="shared" ref="H12:H24" si="1">ROUNDUP(MONTH(F12)/3,0)</f>
        <v>1</v>
      </c>
      <c r="I12" s="17">
        <f t="shared" ref="I12:I24" si="2">F12-DATE(YEAR(F12)-1,12,31)</f>
        <v>42</v>
      </c>
      <c r="J12" s="17">
        <f t="shared" ref="J12:J24" si="3">F12-EOMONTH(DATE(G12,H12*3,1),-3)</f>
        <v>42</v>
      </c>
      <c r="K12" s="18">
        <v>26000000</v>
      </c>
      <c r="L12" s="16" t="s">
        <v>88</v>
      </c>
      <c r="N12" t="s">
        <v>89</v>
      </c>
      <c r="O12" s="57">
        <f>D39</f>
        <v>3.746327444414508E-2</v>
      </c>
      <c r="Q12" s="123"/>
      <c r="R12" s="124"/>
    </row>
    <row r="13" spans="1:18" x14ac:dyDescent="0.2">
      <c r="A13"/>
      <c r="B13" s="29">
        <v>2010</v>
      </c>
      <c r="C13" s="29">
        <v>1</v>
      </c>
      <c r="D13" s="30">
        <v>175000000</v>
      </c>
      <c r="F13" s="15">
        <v>40305</v>
      </c>
      <c r="G13" s="16">
        <f t="shared" si="0"/>
        <v>2010</v>
      </c>
      <c r="H13" s="16">
        <f t="shared" si="1"/>
        <v>2</v>
      </c>
      <c r="I13" s="17">
        <f t="shared" si="2"/>
        <v>127</v>
      </c>
      <c r="J13" s="17">
        <f t="shared" si="3"/>
        <v>37</v>
      </c>
      <c r="K13" s="18">
        <v>39000000</v>
      </c>
      <c r="L13" s="16" t="s">
        <v>90</v>
      </c>
      <c r="N13" t="s">
        <v>91</v>
      </c>
      <c r="O13" s="57">
        <f>D55</f>
        <v>-1.873163722207254E-2</v>
      </c>
      <c r="Q13" s="125" t="s">
        <v>92</v>
      </c>
      <c r="R13" s="124" t="s">
        <v>93</v>
      </c>
    </row>
    <row r="14" spans="1:18" x14ac:dyDescent="0.2">
      <c r="A14"/>
      <c r="B14" s="29">
        <v>2010</v>
      </c>
      <c r="C14" s="29">
        <v>2</v>
      </c>
      <c r="D14" s="30">
        <v>235000000</v>
      </c>
      <c r="F14" s="15">
        <v>40305</v>
      </c>
      <c r="G14" s="16">
        <f t="shared" si="0"/>
        <v>2010</v>
      </c>
      <c r="H14" s="16">
        <f t="shared" si="1"/>
        <v>2</v>
      </c>
      <c r="I14" s="17">
        <f t="shared" si="2"/>
        <v>127</v>
      </c>
      <c r="J14" s="17">
        <f t="shared" si="3"/>
        <v>37</v>
      </c>
      <c r="K14" s="18">
        <v>25000000</v>
      </c>
      <c r="L14" s="16" t="s">
        <v>94</v>
      </c>
      <c r="N14" t="s">
        <v>95</v>
      </c>
      <c r="O14" s="57">
        <f>D71</f>
        <v>5.6194911666217623E-2</v>
      </c>
      <c r="Q14" s="125" t="s">
        <v>96</v>
      </c>
      <c r="R14" s="124" t="s">
        <v>97</v>
      </c>
    </row>
    <row r="15" spans="1:18" x14ac:dyDescent="0.2">
      <c r="A15"/>
      <c r="B15" s="29">
        <v>2010</v>
      </c>
      <c r="C15" s="29">
        <v>3</v>
      </c>
      <c r="D15" s="30">
        <v>236000000</v>
      </c>
      <c r="F15" s="15">
        <v>40325</v>
      </c>
      <c r="G15" s="16">
        <f t="shared" si="0"/>
        <v>2010</v>
      </c>
      <c r="H15" s="16">
        <f t="shared" si="1"/>
        <v>2</v>
      </c>
      <c r="I15" s="17">
        <f t="shared" si="2"/>
        <v>147</v>
      </c>
      <c r="J15" s="17">
        <f t="shared" si="3"/>
        <v>57</v>
      </c>
      <c r="K15" s="18">
        <v>6000000</v>
      </c>
      <c r="L15" s="16" t="s">
        <v>98</v>
      </c>
      <c r="Q15" s="125" t="s">
        <v>99</v>
      </c>
      <c r="R15" s="124" t="s">
        <v>100</v>
      </c>
    </row>
    <row r="16" spans="1:18" x14ac:dyDescent="0.2">
      <c r="A16"/>
      <c r="B16" s="16">
        <v>2010</v>
      </c>
      <c r="C16" s="16">
        <v>4</v>
      </c>
      <c r="D16" s="18">
        <v>271000000</v>
      </c>
      <c r="F16" s="15">
        <v>40484</v>
      </c>
      <c r="G16" s="16">
        <f t="shared" si="0"/>
        <v>2010</v>
      </c>
      <c r="H16" s="16">
        <f t="shared" si="1"/>
        <v>4</v>
      </c>
      <c r="I16" s="17">
        <f t="shared" si="2"/>
        <v>306</v>
      </c>
      <c r="J16" s="17">
        <f t="shared" si="3"/>
        <v>33</v>
      </c>
      <c r="K16" s="18">
        <v>6000000</v>
      </c>
      <c r="L16" s="16" t="s">
        <v>101</v>
      </c>
      <c r="Q16" s="125" t="s">
        <v>102</v>
      </c>
      <c r="R16" s="124" t="s">
        <v>103</v>
      </c>
    </row>
    <row r="17" spans="1:18" x14ac:dyDescent="0.2">
      <c r="A17"/>
      <c r="B17" s="29">
        <v>2011</v>
      </c>
      <c r="C17" s="29">
        <v>1</v>
      </c>
      <c r="D17" s="30">
        <v>275000000</v>
      </c>
      <c r="F17" s="15">
        <v>40508</v>
      </c>
      <c r="G17" s="16">
        <f t="shared" si="0"/>
        <v>2010</v>
      </c>
      <c r="H17" s="16">
        <f t="shared" si="1"/>
        <v>4</v>
      </c>
      <c r="I17" s="17">
        <f t="shared" si="2"/>
        <v>330</v>
      </c>
      <c r="J17" s="17">
        <f t="shared" si="3"/>
        <v>57</v>
      </c>
      <c r="K17" s="18">
        <v>35000000</v>
      </c>
      <c r="L17" s="16" t="s">
        <v>104</v>
      </c>
      <c r="Q17" s="125" t="s">
        <v>105</v>
      </c>
      <c r="R17" s="124" t="s">
        <v>106</v>
      </c>
    </row>
    <row r="18" spans="1:18" x14ac:dyDescent="0.2">
      <c r="B18" s="29">
        <v>2011</v>
      </c>
      <c r="C18" s="29">
        <v>2</v>
      </c>
      <c r="D18" s="30">
        <v>266000000</v>
      </c>
      <c r="F18" s="31">
        <v>40690</v>
      </c>
      <c r="G18" s="29">
        <f t="shared" si="0"/>
        <v>2011</v>
      </c>
      <c r="H18" s="29">
        <f t="shared" si="1"/>
        <v>2</v>
      </c>
      <c r="I18" s="32">
        <f t="shared" si="2"/>
        <v>147</v>
      </c>
      <c r="J18" s="32">
        <f t="shared" si="3"/>
        <v>57</v>
      </c>
      <c r="K18" s="30">
        <v>7000000</v>
      </c>
      <c r="L18" s="29" t="s">
        <v>107</v>
      </c>
      <c r="Q18" s="126"/>
      <c r="R18" s="124"/>
    </row>
    <row r="19" spans="1:18" x14ac:dyDescent="0.2">
      <c r="B19" s="29">
        <v>2011</v>
      </c>
      <c r="C19" s="29">
        <v>3</v>
      </c>
      <c r="D19" s="30">
        <v>293000000</v>
      </c>
      <c r="F19" s="31">
        <v>40808</v>
      </c>
      <c r="G19" s="29">
        <f t="shared" si="0"/>
        <v>2011</v>
      </c>
      <c r="H19" s="29">
        <f t="shared" si="1"/>
        <v>3</v>
      </c>
      <c r="I19" s="32">
        <f t="shared" si="2"/>
        <v>265</v>
      </c>
      <c r="J19" s="32">
        <f t="shared" si="3"/>
        <v>84</v>
      </c>
      <c r="K19" s="30">
        <v>25000000</v>
      </c>
      <c r="L19" s="29" t="s">
        <v>108</v>
      </c>
      <c r="Q19" s="123"/>
      <c r="R19" s="124"/>
    </row>
    <row r="20" spans="1:18" x14ac:dyDescent="0.2">
      <c r="B20" s="29">
        <v>2011</v>
      </c>
      <c r="C20" s="29">
        <v>4</v>
      </c>
      <c r="D20" s="30">
        <v>290000000</v>
      </c>
      <c r="F20" s="31">
        <v>40855</v>
      </c>
      <c r="G20" s="29">
        <f t="shared" si="0"/>
        <v>2011</v>
      </c>
      <c r="H20" s="29">
        <f t="shared" si="1"/>
        <v>4</v>
      </c>
      <c r="I20" s="32">
        <f t="shared" si="2"/>
        <v>312</v>
      </c>
      <c r="J20" s="32">
        <f t="shared" si="3"/>
        <v>39</v>
      </c>
      <c r="K20" s="30">
        <v>7000000</v>
      </c>
      <c r="L20" s="29" t="s">
        <v>109</v>
      </c>
      <c r="Q20" s="182" t="s">
        <v>110</v>
      </c>
      <c r="R20" s="183"/>
    </row>
    <row r="21" spans="1:18" x14ac:dyDescent="0.2">
      <c r="A21"/>
      <c r="B21" s="29">
        <v>2012</v>
      </c>
      <c r="C21" s="29">
        <v>1</v>
      </c>
      <c r="D21" s="30">
        <v>295000000</v>
      </c>
      <c r="F21" s="31">
        <v>40939</v>
      </c>
      <c r="G21" s="29">
        <f t="shared" si="0"/>
        <v>2012</v>
      </c>
      <c r="H21" s="29">
        <f t="shared" si="1"/>
        <v>1</v>
      </c>
      <c r="I21" s="32">
        <f t="shared" si="2"/>
        <v>31</v>
      </c>
      <c r="J21" s="32">
        <f t="shared" si="3"/>
        <v>31</v>
      </c>
      <c r="K21" s="30">
        <v>2000000</v>
      </c>
      <c r="L21" s="29" t="s">
        <v>111</v>
      </c>
      <c r="Q21" s="182"/>
      <c r="R21" s="183"/>
    </row>
    <row r="22" spans="1:18" x14ac:dyDescent="0.2">
      <c r="B22" s="29">
        <v>2012</v>
      </c>
      <c r="C22" s="29">
        <v>2</v>
      </c>
      <c r="D22" s="30">
        <v>325000000</v>
      </c>
      <c r="F22" s="31">
        <v>41057</v>
      </c>
      <c r="G22" s="29">
        <f t="shared" si="0"/>
        <v>2012</v>
      </c>
      <c r="H22" s="29">
        <f t="shared" si="1"/>
        <v>2</v>
      </c>
      <c r="I22" s="32">
        <f t="shared" si="2"/>
        <v>149</v>
      </c>
      <c r="J22" s="32">
        <f t="shared" si="3"/>
        <v>58</v>
      </c>
      <c r="K22" s="30">
        <v>7000000</v>
      </c>
      <c r="L22" s="29" t="s">
        <v>112</v>
      </c>
      <c r="Q22" s="184"/>
      <c r="R22" s="185"/>
    </row>
    <row r="23" spans="1:18" x14ac:dyDescent="0.2">
      <c r="B23" s="29">
        <v>2012</v>
      </c>
      <c r="C23" s="29">
        <v>3</v>
      </c>
      <c r="D23" s="30">
        <v>326000000</v>
      </c>
      <c r="F23" s="31">
        <v>41059</v>
      </c>
      <c r="G23" s="29">
        <f t="shared" si="0"/>
        <v>2012</v>
      </c>
      <c r="H23" s="29">
        <f t="shared" si="1"/>
        <v>2</v>
      </c>
      <c r="I23" s="32">
        <f t="shared" si="2"/>
        <v>151</v>
      </c>
      <c r="J23" s="32">
        <f t="shared" si="3"/>
        <v>60</v>
      </c>
      <c r="K23" s="30">
        <v>23000000</v>
      </c>
      <c r="L23" s="29" t="s">
        <v>113</v>
      </c>
    </row>
    <row r="24" spans="1:18" x14ac:dyDescent="0.2">
      <c r="B24" s="29">
        <v>2012</v>
      </c>
      <c r="C24" s="29">
        <v>4</v>
      </c>
      <c r="D24" s="30">
        <v>320000000</v>
      </c>
      <c r="F24" s="31">
        <v>41219</v>
      </c>
      <c r="G24" s="29">
        <f t="shared" si="0"/>
        <v>2012</v>
      </c>
      <c r="H24" s="29">
        <f t="shared" si="1"/>
        <v>4</v>
      </c>
      <c r="I24" s="32">
        <f t="shared" si="2"/>
        <v>311</v>
      </c>
      <c r="J24" s="32">
        <f t="shared" si="3"/>
        <v>37</v>
      </c>
      <c r="K24" s="30">
        <v>8000000</v>
      </c>
      <c r="L24" s="29" t="s">
        <v>114</v>
      </c>
    </row>
    <row r="25" spans="1:18" x14ac:dyDescent="0.2">
      <c r="B25" s="10"/>
    </row>
    <row r="26" spans="1:18" x14ac:dyDescent="0.2">
      <c r="B26" s="10"/>
    </row>
    <row r="27" spans="1:18" x14ac:dyDescent="0.2">
      <c r="B27" s="10"/>
    </row>
    <row r="28" spans="1:18" x14ac:dyDescent="0.2">
      <c r="B28" s="21" t="s">
        <v>115</v>
      </c>
      <c r="C28" s="22" t="s">
        <v>116</v>
      </c>
      <c r="D28" s="20"/>
      <c r="E28" s="20"/>
      <c r="F28" s="20"/>
      <c r="G28" s="20"/>
      <c r="H28" s="20"/>
      <c r="I28" s="12"/>
      <c r="J28" s="12"/>
      <c r="K28" s="12"/>
      <c r="L28" s="12"/>
      <c r="M28" s="12"/>
      <c r="N28" s="12"/>
      <c r="O28" s="12"/>
      <c r="P28" s="12"/>
    </row>
    <row r="29" spans="1:18" x14ac:dyDescent="0.2">
      <c r="B29" s="19"/>
      <c r="C29" s="20"/>
      <c r="D29" s="20"/>
      <c r="E29" s="20"/>
      <c r="F29" s="20"/>
      <c r="G29" s="20"/>
      <c r="H29" s="20"/>
      <c r="I29" s="12"/>
      <c r="J29" s="12"/>
      <c r="K29" s="12"/>
      <c r="L29" s="12"/>
      <c r="M29" s="12"/>
      <c r="N29" s="12"/>
      <c r="O29" s="12"/>
      <c r="P29" s="12"/>
    </row>
    <row r="30" spans="1:18" x14ac:dyDescent="0.2">
      <c r="B30" s="19" t="s">
        <v>89</v>
      </c>
      <c r="C30" s="20" t="s">
        <v>117</v>
      </c>
      <c r="D30" s="33" t="s">
        <v>118</v>
      </c>
      <c r="E30" s="33"/>
      <c r="F30" s="33"/>
      <c r="G30" s="12"/>
      <c r="H30" s="12"/>
      <c r="I30" s="12"/>
      <c r="J30" s="12"/>
      <c r="K30" s="12"/>
      <c r="L30" s="12"/>
      <c r="M30" s="12"/>
      <c r="N30" s="12"/>
      <c r="O30" s="12"/>
      <c r="P30" s="12"/>
    </row>
    <row r="31" spans="1:18" x14ac:dyDescent="0.2">
      <c r="B31" s="19"/>
      <c r="C31" s="20"/>
      <c r="D31" s="12"/>
      <c r="E31" s="12" t="s">
        <v>119</v>
      </c>
      <c r="F31" s="12"/>
      <c r="G31" s="12"/>
      <c r="H31" s="12"/>
      <c r="I31" s="12"/>
      <c r="J31" s="12"/>
      <c r="K31" s="12"/>
      <c r="L31" s="12"/>
      <c r="M31" s="12"/>
      <c r="N31" s="12"/>
      <c r="O31" s="12"/>
      <c r="P31" s="12"/>
    </row>
    <row r="32" spans="1:18" x14ac:dyDescent="0.2">
      <c r="B32" s="19"/>
      <c r="C32" s="20"/>
      <c r="D32" s="12"/>
      <c r="E32" s="12"/>
      <c r="F32" s="12"/>
      <c r="G32" s="12"/>
      <c r="H32" s="12"/>
      <c r="I32" s="12"/>
      <c r="J32" s="12"/>
      <c r="K32" s="12"/>
      <c r="L32" s="12"/>
      <c r="M32" s="12"/>
      <c r="N32" s="12"/>
      <c r="O32" s="12"/>
      <c r="P32" s="12"/>
    </row>
    <row r="33" spans="2:16" x14ac:dyDescent="0.2">
      <c r="B33" s="19"/>
      <c r="C33" s="20" t="s">
        <v>117</v>
      </c>
      <c r="D33" s="23"/>
      <c r="E33" s="23" t="str">
        <f>_xlfn.CONCAT(TEXT($D$16,"00,0"), " - ",TEXT($D$12,"00,0"), " - (",TEXT($K$12,"00,0")," + ",TEXT($K$13,"00,0")," + ",TEXT($K$14,"00,0")," + ",TEXT($K$17,"00,0"),")"," + ",TEXT($K$15,"00,0")," + ",TEXT($K$16,"00,0"))</f>
        <v>271000000,0 - 150000000,0 - (26000000,0 + 39000000,0 + 25000000,0 + 35000000,0) + 6000000,0 + 6000000,0</v>
      </c>
      <c r="F33" s="23"/>
      <c r="G33" s="23"/>
      <c r="H33" s="20"/>
      <c r="I33" s="12"/>
      <c r="J33" s="12"/>
      <c r="K33" s="12"/>
      <c r="L33" s="12"/>
      <c r="M33" s="12"/>
      <c r="N33" s="12"/>
      <c r="O33" s="12"/>
      <c r="P33" s="12"/>
    </row>
    <row r="34" spans="2:16" x14ac:dyDescent="0.2">
      <c r="B34" s="19"/>
      <c r="C34" s="20"/>
      <c r="D34" s="20" t="str">
        <f>_xlfn.CONCAT(TEXT($D$12,"00,0"), " + (",TEXT($K$12,"00,0"), " * ","(365 - ",TEXT($I$12,"0,0"),") / 365)"," + (",TEXT($K$13,"00,0"), " * ","(365 - ",TEXT($I$13,"00,0"),") / 365)"," + (",TEXT($K$14,"00,0"), " * ","(365 - ",TEXT($I$14,"00,0"),") / 365)"," + (",TEXT($K$17,"00,0"), " * ","(365 - ",TEXT($I$17,"00,0"),") / 365)"," - (",TEXT($K$15,"00,0"), " * ","(365 - ",TEXT($I$15,"00,0"),") / 365)"," - (",TEXT($K$16,"00,0"), " * ","(365 - ",TEXT($I$16,"00,0"),") / 365)")</f>
        <v>150000000,0 + (26000000,0 * (365 - 42,0) / 365) + (39000000,0 * (365 - 127,0) / 365) + (25000000,0 * (365 - 127,0) / 365) + (35000000,0 * (365 - 330,0) / 365) - (6000000,0 * (365 - 147,0) / 365) - (6000000,0 * (365 - 306,0) / 365)</v>
      </c>
      <c r="E34" s="20"/>
      <c r="F34" s="20"/>
      <c r="G34" s="20"/>
      <c r="H34" s="20"/>
      <c r="I34" s="12"/>
      <c r="J34" s="12"/>
      <c r="K34" s="12"/>
      <c r="L34" s="12"/>
      <c r="M34" s="12"/>
      <c r="N34" s="12"/>
      <c r="O34" s="12"/>
      <c r="P34" s="12"/>
    </row>
    <row r="35" spans="2:16" x14ac:dyDescent="0.2">
      <c r="B35" s="19"/>
      <c r="C35" s="20"/>
      <c r="D35" s="20"/>
      <c r="E35" s="20"/>
      <c r="F35" s="20"/>
      <c r="G35" s="20"/>
      <c r="H35" s="20"/>
      <c r="I35" s="12"/>
      <c r="J35" s="12"/>
      <c r="K35" s="12"/>
      <c r="L35" s="12"/>
      <c r="M35" s="12"/>
      <c r="N35" s="12"/>
      <c r="O35" s="12"/>
      <c r="P35" s="12"/>
    </row>
    <row r="36" spans="2:16" x14ac:dyDescent="0.2">
      <c r="B36" s="19"/>
      <c r="C36" s="20" t="s">
        <v>117</v>
      </c>
      <c r="D36" s="35">
        <f>$D$16 - $D$12 - ($K$12 + $K$13 + $K$14 + $K$17) + $K$15 + $K$16</f>
        <v>8000000</v>
      </c>
      <c r="E36" s="20"/>
      <c r="F36" s="20"/>
      <c r="G36" s="20"/>
      <c r="H36" s="20"/>
      <c r="I36" s="12"/>
      <c r="J36" s="12"/>
      <c r="K36" s="12"/>
      <c r="L36" s="12"/>
      <c r="M36" s="12"/>
      <c r="N36" s="12"/>
      <c r="O36" s="12"/>
      <c r="P36" s="12"/>
    </row>
    <row r="37" spans="2:16" x14ac:dyDescent="0.2">
      <c r="B37" s="19"/>
      <c r="C37" s="20"/>
      <c r="D37" s="99">
        <f>$D$12 + ($K$12 * (365 - $I$12) / 365) + ($K$13 * (365 - $I$13) / 365) + ($K$14 * (365 - $I$14) / 365) + ($K$17 * (365 - $I$17) / 365) - ($K$15 * (365 - $I$15) / 365) - ($K$16 * (365 - $I$16) / 365)</f>
        <v>213542465.75342464</v>
      </c>
      <c r="E37" s="20"/>
      <c r="F37" s="20"/>
      <c r="G37" s="20"/>
      <c r="H37" s="20"/>
      <c r="I37" s="12"/>
      <c r="J37" s="12"/>
      <c r="K37" s="12"/>
      <c r="L37" s="12"/>
      <c r="M37" s="12"/>
      <c r="N37" s="12"/>
      <c r="O37" s="12"/>
      <c r="P37" s="12"/>
    </row>
    <row r="38" spans="2:16" x14ac:dyDescent="0.2">
      <c r="B38" s="19"/>
      <c r="C38" s="20"/>
      <c r="D38" s="20"/>
      <c r="E38" s="20"/>
      <c r="F38" s="20"/>
      <c r="G38" s="20"/>
      <c r="H38" s="20"/>
      <c r="I38" s="12"/>
      <c r="J38" s="12"/>
      <c r="K38" s="12"/>
      <c r="L38" s="12"/>
      <c r="M38" s="12"/>
      <c r="N38" s="12"/>
      <c r="O38" s="12"/>
      <c r="P38" s="12"/>
    </row>
    <row r="39" spans="2:16" x14ac:dyDescent="0.2">
      <c r="B39" s="26"/>
      <c r="C39" s="12" t="s">
        <v>117</v>
      </c>
      <c r="D39" s="25">
        <f>D36/D37</f>
        <v>3.746327444414508E-2</v>
      </c>
      <c r="E39" s="20"/>
      <c r="F39" s="20"/>
      <c r="G39" s="20"/>
      <c r="H39" s="20"/>
      <c r="I39" s="12"/>
      <c r="J39" s="12"/>
      <c r="K39" s="12"/>
      <c r="L39" s="12"/>
      <c r="M39" s="12"/>
      <c r="N39" s="12"/>
      <c r="O39" s="12"/>
      <c r="P39" s="12"/>
    </row>
    <row r="40" spans="2:16" x14ac:dyDescent="0.2">
      <c r="B40" s="26"/>
      <c r="C40" s="12"/>
      <c r="D40" s="25"/>
      <c r="E40" s="20"/>
      <c r="F40" s="20"/>
      <c r="G40" s="20"/>
      <c r="H40" s="20"/>
      <c r="I40" s="12"/>
      <c r="J40" s="12"/>
      <c r="K40" s="12"/>
      <c r="L40" s="12"/>
      <c r="M40" s="12"/>
      <c r="N40" s="12"/>
      <c r="O40" s="12"/>
      <c r="P40" s="12"/>
    </row>
    <row r="41" spans="2:16" x14ac:dyDescent="0.2">
      <c r="B41" s="10"/>
    </row>
    <row r="42" spans="2:16" x14ac:dyDescent="0.2">
      <c r="B42" s="10"/>
    </row>
    <row r="43" spans="2:16" x14ac:dyDescent="0.2">
      <c r="B43" s="10"/>
    </row>
    <row r="44" spans="2:16" x14ac:dyDescent="0.2">
      <c r="B44" s="21" t="s">
        <v>115</v>
      </c>
      <c r="C44" s="27" t="s">
        <v>120</v>
      </c>
      <c r="D44" s="12"/>
      <c r="E44" s="12"/>
      <c r="F44" s="12"/>
      <c r="G44" s="12"/>
      <c r="H44" s="12"/>
      <c r="I44" s="12"/>
      <c r="J44" s="12"/>
      <c r="K44" s="12"/>
      <c r="L44" s="12"/>
      <c r="M44" s="12"/>
      <c r="N44" s="12"/>
      <c r="O44" s="12"/>
      <c r="P44" s="12"/>
    </row>
    <row r="45" spans="2:16" x14ac:dyDescent="0.2">
      <c r="B45" s="26"/>
      <c r="C45" s="12"/>
      <c r="D45" s="12"/>
      <c r="E45" s="12"/>
      <c r="F45" s="12"/>
      <c r="G45" s="12"/>
      <c r="H45" s="12"/>
      <c r="I45" s="12"/>
      <c r="J45" s="12"/>
      <c r="K45" s="12"/>
      <c r="L45" s="12"/>
      <c r="M45" s="12"/>
      <c r="N45" s="12"/>
      <c r="O45" s="12"/>
      <c r="P45" s="12"/>
    </row>
    <row r="46" spans="2:16" x14ac:dyDescent="0.2">
      <c r="B46" s="26" t="s">
        <v>91</v>
      </c>
      <c r="C46" s="20" t="s">
        <v>117</v>
      </c>
      <c r="D46" s="33" t="s">
        <v>121</v>
      </c>
      <c r="E46" s="33"/>
      <c r="F46" s="33"/>
      <c r="G46" s="12"/>
      <c r="H46" s="12"/>
      <c r="I46" s="12"/>
      <c r="J46" s="12"/>
      <c r="K46" s="12"/>
      <c r="L46" s="12"/>
      <c r="M46" s="12"/>
      <c r="N46" s="12"/>
      <c r="O46" s="12"/>
      <c r="P46" s="12"/>
    </row>
    <row r="47" spans="2:16" x14ac:dyDescent="0.2">
      <c r="B47" s="26"/>
      <c r="C47" s="20"/>
      <c r="D47" s="12" t="s">
        <v>119</v>
      </c>
      <c r="E47" s="12"/>
      <c r="F47" s="12"/>
      <c r="G47" s="12"/>
      <c r="H47" s="12"/>
      <c r="I47" s="12"/>
      <c r="J47" s="12"/>
      <c r="K47" s="12"/>
      <c r="L47" s="12"/>
      <c r="M47" s="12"/>
      <c r="N47" s="12"/>
      <c r="O47" s="12"/>
      <c r="P47" s="12"/>
    </row>
    <row r="48" spans="2:16" x14ac:dyDescent="0.2">
      <c r="B48" s="26"/>
      <c r="C48" s="12"/>
      <c r="D48" s="12"/>
      <c r="E48" s="12"/>
      <c r="F48" s="12"/>
      <c r="G48" s="12"/>
      <c r="H48" s="12"/>
      <c r="I48" s="12"/>
      <c r="J48" s="12"/>
      <c r="K48" s="12"/>
      <c r="L48" s="12"/>
      <c r="M48" s="12"/>
      <c r="N48" s="12"/>
      <c r="O48" s="12"/>
      <c r="P48" s="12"/>
    </row>
    <row r="49" spans="2:16" x14ac:dyDescent="0.2">
      <c r="B49" s="12"/>
      <c r="C49" s="12" t="s">
        <v>117</v>
      </c>
      <c r="D49" s="23"/>
      <c r="E49" s="23" t="str">
        <f>_xlfn.CONCAT(TEXT($D$16,"00,0")," - ",TEXT($D$12,"00,0")," - (",TEXT($K$12,"00,0")," + ",TEXT($K$13,"00,0")," + ",TEXT($K$14,"00,0")," + ",TEXT($K$17,"00,0"),")")</f>
        <v>271000000,0 - 150000000,0 - (26000000,0 + 39000000,0 + 25000000,0 + 35000000,0)</v>
      </c>
      <c r="F49" s="23"/>
      <c r="G49" s="23"/>
      <c r="H49" s="20"/>
      <c r="I49" s="12"/>
      <c r="J49" s="12"/>
      <c r="K49" s="12"/>
      <c r="L49" s="12"/>
      <c r="M49" s="12"/>
      <c r="N49" s="12"/>
      <c r="O49" s="12"/>
      <c r="P49" s="12"/>
    </row>
    <row r="50" spans="2:16" x14ac:dyDescent="0.2">
      <c r="B50" s="26"/>
      <c r="C50" s="12"/>
      <c r="D50" s="20" t="str">
        <f>_xlfn.CONCAT(TEXT($D$12,"00,0"), " + (",TEXT($K$12,"00,0"), " * ","(365 - ",TEXT($I$12,"0,0"),") / 365)"," + (",TEXT($K$13,"00,0"), " * ","(365 - ",TEXT($I$13,"00,0"),") / 365)"," + (",TEXT($K$14,"00,0"), " * ","(365 - ",TEXT($I$14,"00,0"),") / 365)"," + (",TEXT($K$17,"00,0"), " * ","(365 - ",TEXT($I$17,"00,0"),") / 365)"," - (",TEXT($K$15,"00,0"), " * ","(365 - ",TEXT($I$15,"00,0"),") / 365)"," - (",TEXT($K$16,"00,0"), " * ","(365 - ",TEXT($I$16,"00,0"),") / 365)")</f>
        <v>150000000,0 + (26000000,0 * (365 - 42,0) / 365) + (39000000,0 * (365 - 127,0) / 365) + (25000000,0 * (365 - 127,0) / 365) + (35000000,0 * (365 - 330,0) / 365) - (6000000,0 * (365 - 147,0) / 365) - (6000000,0 * (365 - 306,0) / 365)</v>
      </c>
      <c r="E50" s="20"/>
      <c r="F50" s="20"/>
      <c r="G50" s="20"/>
      <c r="H50" s="20"/>
      <c r="I50" s="12"/>
      <c r="J50" s="12"/>
      <c r="K50" s="12"/>
      <c r="L50" s="12"/>
      <c r="M50" s="12"/>
      <c r="N50" s="12"/>
      <c r="O50" s="12"/>
      <c r="P50" s="12"/>
    </row>
    <row r="51" spans="2:16" x14ac:dyDescent="0.2">
      <c r="B51" s="26"/>
      <c r="C51" s="12"/>
      <c r="D51" s="12"/>
      <c r="E51" s="12"/>
      <c r="F51" s="12"/>
      <c r="G51" s="12"/>
      <c r="H51" s="12"/>
      <c r="I51" s="12"/>
      <c r="J51" s="12"/>
      <c r="K51" s="12"/>
      <c r="L51" s="12"/>
      <c r="M51" s="12"/>
      <c r="N51" s="12"/>
      <c r="O51" s="12"/>
      <c r="P51" s="12"/>
    </row>
    <row r="52" spans="2:16" x14ac:dyDescent="0.2">
      <c r="B52" s="26"/>
      <c r="C52" s="12" t="s">
        <v>117</v>
      </c>
      <c r="D52" s="35">
        <f>$D$16 - $D$12 - ($K$12 + $K$13 + $K$14 + $K$17)</f>
        <v>-4000000</v>
      </c>
      <c r="E52" s="12"/>
      <c r="F52" s="12"/>
      <c r="G52" s="12"/>
      <c r="H52" s="12"/>
      <c r="I52" s="12"/>
      <c r="J52" s="12"/>
      <c r="K52" s="12"/>
      <c r="L52" s="12"/>
      <c r="M52" s="12"/>
      <c r="N52" s="12"/>
      <c r="O52" s="12"/>
      <c r="P52" s="12"/>
    </row>
    <row r="53" spans="2:16" x14ac:dyDescent="0.2">
      <c r="B53" s="26"/>
      <c r="C53" s="12"/>
      <c r="D53" s="99">
        <f>$D$12 + ($K$12 * (365 - $I$12) / 365) + ($K$13 * (365 - $I$13) / 365) + ($K$14 * (365 - $I$14) / 365) + ($K$17 * (365 - $I$17) / 365) - ($K$15 * (365 - $I$15) / 365) - ($K$16 * (365 - $I$16) / 365)</f>
        <v>213542465.75342464</v>
      </c>
      <c r="E53" s="12"/>
      <c r="F53" s="12"/>
      <c r="G53" s="12"/>
      <c r="H53" s="12"/>
      <c r="I53" s="12"/>
      <c r="J53" s="12"/>
      <c r="K53" s="12"/>
      <c r="L53" s="12"/>
      <c r="M53" s="12"/>
      <c r="N53" s="12"/>
      <c r="O53" s="12"/>
      <c r="P53" s="12"/>
    </row>
    <row r="54" spans="2:16" x14ac:dyDescent="0.2">
      <c r="B54" s="26"/>
      <c r="C54" s="12"/>
      <c r="D54" s="12"/>
      <c r="E54" s="12"/>
      <c r="F54" s="12"/>
      <c r="G54" s="12"/>
      <c r="H54" s="12"/>
      <c r="I54" s="12"/>
      <c r="J54" s="12"/>
      <c r="K54" s="12"/>
      <c r="L54" s="12"/>
      <c r="M54" s="12"/>
      <c r="N54" s="12"/>
      <c r="O54" s="12"/>
      <c r="P54" s="12"/>
    </row>
    <row r="55" spans="2:16" x14ac:dyDescent="0.2">
      <c r="B55" s="26"/>
      <c r="C55" s="12" t="s">
        <v>117</v>
      </c>
      <c r="D55" s="28">
        <f>D52/D53</f>
        <v>-1.873163722207254E-2</v>
      </c>
      <c r="E55" s="12"/>
      <c r="F55" s="12"/>
      <c r="G55" s="12"/>
      <c r="H55" s="12"/>
      <c r="I55" s="12"/>
      <c r="J55" s="12"/>
      <c r="K55" s="12"/>
      <c r="L55" s="12"/>
      <c r="M55" s="12"/>
      <c r="N55" s="12"/>
      <c r="O55" s="12"/>
      <c r="P55" s="12"/>
    </row>
    <row r="56" spans="2:16" x14ac:dyDescent="0.2">
      <c r="B56" s="26"/>
      <c r="C56" s="12"/>
      <c r="D56" s="12"/>
      <c r="E56" s="12"/>
      <c r="F56" s="12"/>
      <c r="G56" s="12"/>
      <c r="H56" s="12"/>
      <c r="I56" s="12"/>
      <c r="J56" s="12"/>
      <c r="K56" s="12"/>
      <c r="L56" s="12"/>
      <c r="M56" s="12"/>
      <c r="N56" s="12"/>
      <c r="O56" s="12"/>
      <c r="P56" s="12"/>
    </row>
    <row r="57" spans="2:16" x14ac:dyDescent="0.2">
      <c r="B57" s="10"/>
    </row>
    <row r="58" spans="2:16" x14ac:dyDescent="0.2">
      <c r="B58" s="10"/>
    </row>
    <row r="59" spans="2:16" x14ac:dyDescent="0.2">
      <c r="B59" s="10"/>
    </row>
    <row r="60" spans="2:16" x14ac:dyDescent="0.2">
      <c r="B60" s="21" t="s">
        <v>115</v>
      </c>
      <c r="C60" s="27" t="s">
        <v>122</v>
      </c>
      <c r="D60" s="12"/>
      <c r="E60" s="12"/>
      <c r="F60" s="12"/>
      <c r="G60" s="12"/>
      <c r="H60" s="12"/>
      <c r="I60" s="12"/>
      <c r="J60" s="12"/>
      <c r="K60" s="12"/>
      <c r="L60" s="12"/>
      <c r="M60" s="12"/>
      <c r="N60" s="12"/>
      <c r="O60" s="12"/>
      <c r="P60" s="12"/>
    </row>
    <row r="61" spans="2:16" x14ac:dyDescent="0.2">
      <c r="B61" s="26"/>
      <c r="C61" s="12"/>
      <c r="D61" s="12"/>
      <c r="E61" s="12"/>
      <c r="F61" s="12"/>
      <c r="G61" s="12"/>
      <c r="H61" s="12"/>
      <c r="I61" s="12"/>
      <c r="J61" s="12"/>
      <c r="K61" s="12"/>
      <c r="L61" s="12"/>
      <c r="M61" s="12"/>
      <c r="N61" s="12"/>
      <c r="O61" s="12"/>
      <c r="P61" s="12"/>
    </row>
    <row r="62" spans="2:16" x14ac:dyDescent="0.2">
      <c r="B62" s="26" t="s">
        <v>95</v>
      </c>
      <c r="C62" s="20" t="s">
        <v>117</v>
      </c>
      <c r="D62" s="34" t="s">
        <v>123</v>
      </c>
      <c r="E62" s="33"/>
      <c r="F62" s="33"/>
      <c r="G62" s="12"/>
      <c r="H62" s="12"/>
      <c r="I62" s="12"/>
      <c r="J62" s="12"/>
      <c r="K62" s="12"/>
      <c r="L62" s="12"/>
      <c r="M62" s="12"/>
      <c r="N62" s="12"/>
      <c r="O62" s="12"/>
      <c r="P62" s="12"/>
    </row>
    <row r="63" spans="2:16" x14ac:dyDescent="0.2">
      <c r="B63" s="26"/>
      <c r="C63" s="20"/>
      <c r="D63" s="12" t="s">
        <v>119</v>
      </c>
      <c r="E63" s="12"/>
      <c r="F63" s="12"/>
      <c r="G63" s="12"/>
      <c r="H63" s="12"/>
      <c r="I63" s="12"/>
      <c r="J63" s="12"/>
      <c r="K63" s="12"/>
      <c r="L63" s="12"/>
      <c r="M63" s="12"/>
      <c r="N63" s="12"/>
      <c r="O63" s="12"/>
      <c r="P63" s="12"/>
    </row>
    <row r="64" spans="2:16" x14ac:dyDescent="0.2">
      <c r="B64" s="26"/>
      <c r="C64" s="12"/>
      <c r="D64" s="12"/>
      <c r="E64" s="12"/>
      <c r="F64" s="12"/>
      <c r="G64" s="12"/>
      <c r="H64" s="12"/>
      <c r="I64" s="12"/>
      <c r="J64" s="12"/>
      <c r="K64" s="12"/>
      <c r="L64" s="12"/>
      <c r="M64" s="12"/>
      <c r="N64" s="12"/>
      <c r="O64" s="12"/>
      <c r="P64" s="12"/>
    </row>
    <row r="65" spans="2:16" x14ac:dyDescent="0.2">
      <c r="B65" s="26"/>
      <c r="C65" s="12" t="s">
        <v>117</v>
      </c>
      <c r="D65" s="23"/>
      <c r="E65" s="23" t="str">
        <f>_xlfn.CONCAT(" + ",TEXT($K$15,"00,0")," + ",TEXT($K$16,"00,0"))</f>
        <v xml:space="preserve"> + 6000000,0 + 6000000,0</v>
      </c>
      <c r="F65" s="23"/>
      <c r="G65" s="23"/>
      <c r="H65" s="20"/>
      <c r="I65" s="12"/>
      <c r="J65" s="12"/>
      <c r="K65" s="12"/>
      <c r="L65" s="12"/>
      <c r="M65" s="12"/>
      <c r="N65" s="12"/>
      <c r="O65" s="12"/>
      <c r="P65" s="12"/>
    </row>
    <row r="66" spans="2:16" x14ac:dyDescent="0.2">
      <c r="B66" s="26"/>
      <c r="C66" s="12"/>
      <c r="D66" s="20" t="str">
        <f>_xlfn.CONCAT(TEXT($D$12,"00,0"), " + (",TEXT($K$12,"00,0"), " * ","(365 - ",TEXT($I$12,"0,0"),") / 365)"," + (",TEXT($K$13,"00,0"), " * ","(365 - ",TEXT($I$13,"00,0"),") / 365)"," + (",TEXT($K$14,"00,0"), " * ","(365 - ",TEXT($I$14,"00,0"),") / 365)"," + (",TEXT($K$17,"00,0"), " * ","(365 - ",TEXT($I$17,"00,0"),") / 365)"," - (",TEXT($K$15,"00,0"), " * ","(365 - ",TEXT($I$15,"00,0"),") / 365)"," - (",TEXT($K$16,"00,0"), " * ","(365 - ",TEXT($I$16,"00,0"),") / 365)")</f>
        <v>150000000,0 + (26000000,0 * (365 - 42,0) / 365) + (39000000,0 * (365 - 127,0) / 365) + (25000000,0 * (365 - 127,0) / 365) + (35000000,0 * (365 - 330,0) / 365) - (6000000,0 * (365 - 147,0) / 365) - (6000000,0 * (365 - 306,0) / 365)</v>
      </c>
      <c r="E66" s="20"/>
      <c r="F66" s="20"/>
      <c r="G66" s="20"/>
      <c r="H66" s="20"/>
      <c r="I66" s="12"/>
      <c r="J66" s="12"/>
      <c r="K66" s="12"/>
      <c r="L66" s="12"/>
      <c r="M66" s="12"/>
      <c r="N66" s="12"/>
      <c r="O66" s="12"/>
      <c r="P66" s="12"/>
    </row>
    <row r="67" spans="2:16" x14ac:dyDescent="0.2">
      <c r="B67" s="26"/>
      <c r="C67" s="12"/>
      <c r="D67" s="12"/>
      <c r="E67" s="12"/>
      <c r="F67" s="12"/>
      <c r="G67" s="12"/>
      <c r="H67" s="12"/>
      <c r="I67" s="12"/>
      <c r="J67" s="12"/>
      <c r="K67" s="12"/>
      <c r="L67" s="12"/>
      <c r="M67" s="12"/>
      <c r="N67" s="12"/>
      <c r="O67" s="12"/>
      <c r="P67" s="12"/>
    </row>
    <row r="68" spans="2:16" x14ac:dyDescent="0.2">
      <c r="B68" s="26"/>
      <c r="C68" s="12" t="s">
        <v>117</v>
      </c>
      <c r="D68" s="35">
        <f>$K$15 + $K$16</f>
        <v>12000000</v>
      </c>
      <c r="E68" s="12"/>
      <c r="F68" s="12"/>
      <c r="G68" s="12"/>
      <c r="H68" s="12"/>
      <c r="I68" s="12"/>
      <c r="J68" s="12"/>
      <c r="K68" s="12"/>
      <c r="L68" s="12"/>
      <c r="M68" s="12"/>
      <c r="N68" s="12"/>
      <c r="O68" s="12"/>
      <c r="P68" s="12"/>
    </row>
    <row r="69" spans="2:16" x14ac:dyDescent="0.2">
      <c r="B69" s="26"/>
      <c r="C69" s="12"/>
      <c r="D69" s="99">
        <f>$D$12 + ($K$12 * (365 - $I$12) / 365) + ($K$13 * (365 - $I$13) / 365) + ($K$14 * (365 - $I$14) / 365) + ($K$17 * (365 - $I$17) / 365) - ($K$15 * (365 - $I$15) / 365) - ($K$16 * (365 - $I$16) / 365)</f>
        <v>213542465.75342464</v>
      </c>
      <c r="E69" s="12"/>
      <c r="F69" s="12"/>
      <c r="G69" s="12"/>
      <c r="H69" s="12"/>
      <c r="I69" s="12"/>
      <c r="J69" s="12"/>
      <c r="K69" s="12"/>
      <c r="L69" s="12"/>
      <c r="M69" s="12"/>
      <c r="N69" s="12"/>
      <c r="O69" s="12"/>
      <c r="P69" s="12"/>
    </row>
    <row r="70" spans="2:16" x14ac:dyDescent="0.2">
      <c r="B70" s="12"/>
      <c r="C70" s="12"/>
      <c r="D70" s="12"/>
      <c r="E70" s="12"/>
      <c r="F70" s="12"/>
      <c r="G70" s="12"/>
      <c r="H70" s="12"/>
      <c r="I70" s="12"/>
      <c r="J70" s="12"/>
      <c r="K70" s="12"/>
      <c r="L70" s="12"/>
      <c r="M70" s="12"/>
      <c r="N70" s="12"/>
      <c r="O70" s="12"/>
      <c r="P70" s="12"/>
    </row>
    <row r="71" spans="2:16" x14ac:dyDescent="0.2">
      <c r="B71" s="12"/>
      <c r="C71" s="12" t="s">
        <v>117</v>
      </c>
      <c r="D71" s="28">
        <f>D68/D69</f>
        <v>5.6194911666217623E-2</v>
      </c>
      <c r="E71" s="12"/>
      <c r="F71" s="12"/>
      <c r="G71" s="12"/>
      <c r="H71" s="12"/>
      <c r="I71" s="12"/>
      <c r="J71" s="12"/>
      <c r="K71" s="12"/>
      <c r="L71" s="12"/>
      <c r="M71" s="12"/>
      <c r="N71" s="12"/>
      <c r="O71" s="12"/>
      <c r="P71" s="12"/>
    </row>
    <row r="72" spans="2:16" x14ac:dyDescent="0.2">
      <c r="B72" s="12"/>
      <c r="C72" s="12"/>
      <c r="D72" s="12"/>
      <c r="E72" s="12"/>
      <c r="F72" s="12"/>
      <c r="G72" s="12"/>
      <c r="H72" s="12"/>
      <c r="I72" s="12"/>
      <c r="J72" s="12"/>
      <c r="K72" s="12"/>
      <c r="L72" s="12"/>
      <c r="M72" s="12"/>
      <c r="N72" s="12"/>
      <c r="O72" s="12"/>
      <c r="P72" s="12"/>
    </row>
    <row r="75" spans="2:16" x14ac:dyDescent="0.2">
      <c r="C75" s="120"/>
    </row>
    <row r="76" spans="2:16" x14ac:dyDescent="0.2">
      <c r="C76" s="120"/>
    </row>
    <row r="77" spans="2:16" x14ac:dyDescent="0.2">
      <c r="C77" s="120"/>
    </row>
    <row r="78" spans="2:16" x14ac:dyDescent="0.2">
      <c r="C78" s="120"/>
    </row>
    <row r="79" spans="2:16" x14ac:dyDescent="0.2">
      <c r="C79" s="120"/>
    </row>
    <row r="80" spans="2:16" x14ac:dyDescent="0.2">
      <c r="C80" s="119"/>
    </row>
  </sheetData>
  <mergeCells count="3">
    <mergeCell ref="F4:G6"/>
    <mergeCell ref="H1:L1"/>
    <mergeCell ref="Q20:R22"/>
  </mergeCells>
  <hyperlinks>
    <hyperlink ref="H1:L1" location="'Table of Contents'!A1" display="Back to Table of Contents" xr:uid="{E5FA0BC2-7C3B-457B-9D9F-DD9F0D5BE6FC}"/>
    <hyperlink ref="Q20:R22" r:id="rId1" location="inrev-guidelines" display="For more information about Performance Measurement visit the INREV Guidelines on Performance Measurement." xr:uid="{9BA2DE25-540F-4D84-A842-B66D0C627029}"/>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R72"/>
  <sheetViews>
    <sheetView showGridLines="0" zoomScaleNormal="100" zoomScalePageLayoutView="85" workbookViewId="0">
      <pane ySplit="6" topLeftCell="A7" activePane="bottomLeft" state="frozen"/>
      <selection activeCell="B16" sqref="B16"/>
      <selection pane="bottomLeft" activeCell="F4" sqref="F4:G6"/>
    </sheetView>
  </sheetViews>
  <sheetFormatPr defaultColWidth="8.7109375" defaultRowHeight="12.75" x14ac:dyDescent="0.2"/>
  <cols>
    <col min="1" max="1" width="7.28515625" style="7" customWidth="1"/>
    <col min="2" max="2" width="22.28515625" customWidth="1"/>
    <col min="3" max="8" width="17.7109375" customWidth="1"/>
    <col min="9" max="9" width="10.7109375" bestFit="1" customWidth="1"/>
    <col min="10" max="10" width="13.5703125" bestFit="1" customWidth="1"/>
    <col min="11" max="11" width="14" bestFit="1" customWidth="1"/>
    <col min="12" max="12" width="15.7109375" bestFit="1" customWidth="1"/>
    <col min="14" max="14" width="21.7109375" bestFit="1" customWidth="1"/>
    <col min="18" max="18" width="46.28515625" bestFit="1" customWidth="1"/>
  </cols>
  <sheetData>
    <row r="1" spans="1:18" s="1" customFormat="1" ht="34.9" customHeight="1" x14ac:dyDescent="0.2">
      <c r="A1" s="6"/>
      <c r="B1" s="2" t="str">
        <f ca="1">MID(CELL("filename",A1),FIND("]",CELL("filename",A1))+ 1,255)&amp;" - calculation example"</f>
        <v>Single year return 2011 - calculation example</v>
      </c>
      <c r="H1" s="181" t="s">
        <v>68</v>
      </c>
      <c r="I1" s="181"/>
      <c r="J1" s="181"/>
      <c r="K1" s="181"/>
      <c r="L1" s="181"/>
    </row>
    <row r="3" spans="1:18" x14ac:dyDescent="0.2">
      <c r="A3"/>
    </row>
    <row r="4" spans="1:18" x14ac:dyDescent="0.2">
      <c r="A4"/>
      <c r="B4" s="12" t="s">
        <v>69</v>
      </c>
      <c r="C4" s="12" t="s">
        <v>70</v>
      </c>
      <c r="F4" s="180" t="s">
        <v>71</v>
      </c>
      <c r="G4" s="180"/>
    </row>
    <row r="5" spans="1:18" x14ac:dyDescent="0.2">
      <c r="A5"/>
      <c r="B5" s="12" t="s">
        <v>72</v>
      </c>
      <c r="C5" s="12" t="s">
        <v>73</v>
      </c>
      <c r="F5" s="180"/>
      <c r="G5" s="180"/>
    </row>
    <row r="6" spans="1:18" x14ac:dyDescent="0.2">
      <c r="A6"/>
      <c r="B6" s="12" t="s">
        <v>74</v>
      </c>
      <c r="C6" s="12" t="s">
        <v>75</v>
      </c>
      <c r="F6" s="180"/>
      <c r="G6" s="180"/>
    </row>
    <row r="7" spans="1:18" x14ac:dyDescent="0.2">
      <c r="A7"/>
    </row>
    <row r="8" spans="1:18" x14ac:dyDescent="0.2">
      <c r="A8"/>
    </row>
    <row r="9" spans="1:18" x14ac:dyDescent="0.2">
      <c r="A9"/>
    </row>
    <row r="10" spans="1:18" x14ac:dyDescent="0.2">
      <c r="A10"/>
      <c r="B10" s="3" t="s">
        <v>76</v>
      </c>
      <c r="F10" s="3" t="s">
        <v>77</v>
      </c>
      <c r="N10" s="3" t="s">
        <v>78</v>
      </c>
    </row>
    <row r="11" spans="1:18" ht="12.75" customHeight="1" x14ac:dyDescent="0.2">
      <c r="A11"/>
      <c r="B11" s="4" t="s">
        <v>79</v>
      </c>
      <c r="C11" s="4" t="s">
        <v>80</v>
      </c>
      <c r="D11" s="4" t="s">
        <v>81</v>
      </c>
      <c r="F11" s="4" t="s">
        <v>82</v>
      </c>
      <c r="G11" s="4" t="s">
        <v>79</v>
      </c>
      <c r="H11" s="4" t="s">
        <v>80</v>
      </c>
      <c r="I11" s="4" t="s">
        <v>83</v>
      </c>
      <c r="J11" s="4" t="s">
        <v>84</v>
      </c>
      <c r="K11" s="4" t="s">
        <v>85</v>
      </c>
      <c r="L11" s="4" t="s">
        <v>86</v>
      </c>
      <c r="N11" s="56"/>
      <c r="O11" s="4">
        <v>2011</v>
      </c>
      <c r="Q11" s="128" t="s">
        <v>87</v>
      </c>
      <c r="R11" s="122"/>
    </row>
    <row r="12" spans="1:18" x14ac:dyDescent="0.2">
      <c r="A12"/>
      <c r="B12">
        <v>2009</v>
      </c>
      <c r="C12">
        <v>4</v>
      </c>
      <c r="D12" s="13">
        <v>150000000</v>
      </c>
      <c r="F12" s="10">
        <v>40220</v>
      </c>
      <c r="G12">
        <f t="shared" ref="G12:G24" si="0">YEAR(F12)</f>
        <v>2010</v>
      </c>
      <c r="H12">
        <f t="shared" ref="H12:H24" si="1">ROUNDUP(MONTH(F12)/3,0)</f>
        <v>1</v>
      </c>
      <c r="I12" s="14">
        <f t="shared" ref="I12:I24" si="2">F12-DATE(YEAR(F12)-1,12,31)</f>
        <v>42</v>
      </c>
      <c r="J12" s="14">
        <f t="shared" ref="J12:J24" si="3">F12-EOMONTH(DATE(G12,H12*3,1),-3)</f>
        <v>42</v>
      </c>
      <c r="K12" s="13">
        <v>26000000</v>
      </c>
      <c r="L12" t="s">
        <v>88</v>
      </c>
      <c r="N12" t="s">
        <v>89</v>
      </c>
      <c r="O12" s="57">
        <f>D39</f>
        <v>2.9341425671737781E-2</v>
      </c>
      <c r="Q12" s="123"/>
      <c r="R12" s="124"/>
    </row>
    <row r="13" spans="1:18" x14ac:dyDescent="0.2">
      <c r="A13"/>
      <c r="B13">
        <v>2010</v>
      </c>
      <c r="C13">
        <v>1</v>
      </c>
      <c r="D13" s="13">
        <v>175000000</v>
      </c>
      <c r="F13" s="10">
        <v>40305</v>
      </c>
      <c r="G13">
        <f t="shared" si="0"/>
        <v>2010</v>
      </c>
      <c r="H13">
        <f t="shared" si="1"/>
        <v>2</v>
      </c>
      <c r="I13" s="14">
        <f t="shared" si="2"/>
        <v>127</v>
      </c>
      <c r="J13" s="14">
        <f t="shared" si="3"/>
        <v>37</v>
      </c>
      <c r="K13" s="13">
        <v>39000000</v>
      </c>
      <c r="L13" t="s">
        <v>90</v>
      </c>
      <c r="N13" t="s">
        <v>91</v>
      </c>
      <c r="O13" s="57">
        <f>D55</f>
        <v>-2.2006069253803336E-2</v>
      </c>
      <c r="Q13" s="125" t="s">
        <v>92</v>
      </c>
      <c r="R13" s="124" t="s">
        <v>93</v>
      </c>
    </row>
    <row r="14" spans="1:18" x14ac:dyDescent="0.2">
      <c r="A14"/>
      <c r="B14">
        <v>2010</v>
      </c>
      <c r="C14">
        <v>2</v>
      </c>
      <c r="D14" s="13">
        <v>235000000</v>
      </c>
      <c r="F14" s="10">
        <v>40305</v>
      </c>
      <c r="G14">
        <f t="shared" si="0"/>
        <v>2010</v>
      </c>
      <c r="H14">
        <f t="shared" si="1"/>
        <v>2</v>
      </c>
      <c r="I14" s="14">
        <f t="shared" si="2"/>
        <v>127</v>
      </c>
      <c r="J14" s="14">
        <f t="shared" si="3"/>
        <v>37</v>
      </c>
      <c r="K14" s="13">
        <v>25000000</v>
      </c>
      <c r="L14" t="s">
        <v>94</v>
      </c>
      <c r="N14" t="s">
        <v>95</v>
      </c>
      <c r="O14" s="57">
        <f>D71</f>
        <v>5.1347494925541116E-2</v>
      </c>
      <c r="Q14" s="125" t="s">
        <v>96</v>
      </c>
      <c r="R14" s="124" t="s">
        <v>97</v>
      </c>
    </row>
    <row r="15" spans="1:18" x14ac:dyDescent="0.2">
      <c r="A15"/>
      <c r="B15">
        <v>2010</v>
      </c>
      <c r="C15">
        <v>3</v>
      </c>
      <c r="D15" s="13">
        <v>236000000</v>
      </c>
      <c r="F15" s="10">
        <v>40325</v>
      </c>
      <c r="G15">
        <f t="shared" si="0"/>
        <v>2010</v>
      </c>
      <c r="H15">
        <f t="shared" si="1"/>
        <v>2</v>
      </c>
      <c r="I15" s="14">
        <f t="shared" si="2"/>
        <v>147</v>
      </c>
      <c r="J15" s="14">
        <f t="shared" si="3"/>
        <v>57</v>
      </c>
      <c r="K15" s="13">
        <v>6000000</v>
      </c>
      <c r="L15" t="s">
        <v>98</v>
      </c>
      <c r="Q15" s="125" t="s">
        <v>99</v>
      </c>
      <c r="R15" s="124" t="s">
        <v>100</v>
      </c>
    </row>
    <row r="16" spans="1:18" x14ac:dyDescent="0.2">
      <c r="A16"/>
      <c r="B16" s="16">
        <v>2010</v>
      </c>
      <c r="C16" s="16">
        <v>4</v>
      </c>
      <c r="D16" s="18">
        <v>271000000</v>
      </c>
      <c r="F16" s="10">
        <v>40484</v>
      </c>
      <c r="G16">
        <f t="shared" si="0"/>
        <v>2010</v>
      </c>
      <c r="H16">
        <f t="shared" si="1"/>
        <v>4</v>
      </c>
      <c r="I16" s="14">
        <f t="shared" si="2"/>
        <v>306</v>
      </c>
      <c r="J16" s="14">
        <f t="shared" si="3"/>
        <v>33</v>
      </c>
      <c r="K16" s="13">
        <v>6000000</v>
      </c>
      <c r="L16" t="s">
        <v>101</v>
      </c>
      <c r="Q16" s="125" t="s">
        <v>102</v>
      </c>
      <c r="R16" s="124" t="s">
        <v>103</v>
      </c>
    </row>
    <row r="17" spans="1:18" x14ac:dyDescent="0.2">
      <c r="A17"/>
      <c r="B17">
        <v>2011</v>
      </c>
      <c r="C17">
        <v>1</v>
      </c>
      <c r="D17" s="13">
        <v>275000000</v>
      </c>
      <c r="F17" s="10">
        <v>40508</v>
      </c>
      <c r="G17">
        <f t="shared" si="0"/>
        <v>2010</v>
      </c>
      <c r="H17">
        <f t="shared" si="1"/>
        <v>4</v>
      </c>
      <c r="I17" s="14">
        <f t="shared" si="2"/>
        <v>330</v>
      </c>
      <c r="J17" s="14">
        <f t="shared" si="3"/>
        <v>57</v>
      </c>
      <c r="K17" s="13">
        <v>35000000</v>
      </c>
      <c r="L17" t="s">
        <v>104</v>
      </c>
      <c r="Q17" s="125" t="s">
        <v>105</v>
      </c>
      <c r="R17" s="124" t="s">
        <v>106</v>
      </c>
    </row>
    <row r="18" spans="1:18" x14ac:dyDescent="0.2">
      <c r="B18">
        <v>2011</v>
      </c>
      <c r="C18">
        <v>2</v>
      </c>
      <c r="D18" s="13">
        <v>266000000</v>
      </c>
      <c r="F18" s="15">
        <v>40690</v>
      </c>
      <c r="G18" s="16">
        <f t="shared" si="0"/>
        <v>2011</v>
      </c>
      <c r="H18" s="16">
        <f t="shared" si="1"/>
        <v>2</v>
      </c>
      <c r="I18" s="17">
        <f t="shared" si="2"/>
        <v>147</v>
      </c>
      <c r="J18" s="17">
        <f t="shared" si="3"/>
        <v>57</v>
      </c>
      <c r="K18" s="18">
        <v>7000000</v>
      </c>
      <c r="L18" s="16" t="s">
        <v>107</v>
      </c>
      <c r="Q18" s="126"/>
      <c r="R18" s="124"/>
    </row>
    <row r="19" spans="1:18" x14ac:dyDescent="0.2">
      <c r="B19">
        <v>2011</v>
      </c>
      <c r="C19">
        <v>3</v>
      </c>
      <c r="D19" s="13">
        <v>293000000</v>
      </c>
      <c r="F19" s="15">
        <v>40808</v>
      </c>
      <c r="G19" s="16">
        <f t="shared" si="0"/>
        <v>2011</v>
      </c>
      <c r="H19" s="16">
        <f t="shared" si="1"/>
        <v>3</v>
      </c>
      <c r="I19" s="17">
        <f t="shared" si="2"/>
        <v>265</v>
      </c>
      <c r="J19" s="17">
        <f t="shared" si="3"/>
        <v>84</v>
      </c>
      <c r="K19" s="18">
        <v>25000000</v>
      </c>
      <c r="L19" s="16" t="s">
        <v>108</v>
      </c>
      <c r="Q19" s="123"/>
      <c r="R19" s="124"/>
    </row>
    <row r="20" spans="1:18" ht="12.75" customHeight="1" x14ac:dyDescent="0.2">
      <c r="B20" s="16">
        <v>2011</v>
      </c>
      <c r="C20" s="16">
        <v>4</v>
      </c>
      <c r="D20" s="18">
        <v>290000000</v>
      </c>
      <c r="F20" s="15">
        <v>40855</v>
      </c>
      <c r="G20" s="16">
        <f t="shared" si="0"/>
        <v>2011</v>
      </c>
      <c r="H20" s="16">
        <f t="shared" si="1"/>
        <v>4</v>
      </c>
      <c r="I20" s="17">
        <f>F20-DATE(YEAR(F20)-1,12,31)</f>
        <v>312</v>
      </c>
      <c r="J20" s="17">
        <f t="shared" si="3"/>
        <v>39</v>
      </c>
      <c r="K20" s="18">
        <v>7000000</v>
      </c>
      <c r="L20" s="16" t="s">
        <v>109</v>
      </c>
      <c r="Q20" s="182" t="s">
        <v>110</v>
      </c>
      <c r="R20" s="183"/>
    </row>
    <row r="21" spans="1:18" x14ac:dyDescent="0.2">
      <c r="A21"/>
      <c r="B21">
        <v>2012</v>
      </c>
      <c r="C21">
        <v>1</v>
      </c>
      <c r="D21" s="13">
        <v>295000000</v>
      </c>
      <c r="F21" s="10">
        <v>40939</v>
      </c>
      <c r="G21">
        <f t="shared" si="0"/>
        <v>2012</v>
      </c>
      <c r="H21">
        <f t="shared" si="1"/>
        <v>1</v>
      </c>
      <c r="I21" s="14">
        <f>F21-DATE(YEAR(F21)-1,12,31)</f>
        <v>31</v>
      </c>
      <c r="J21" s="14">
        <f t="shared" si="3"/>
        <v>31</v>
      </c>
      <c r="K21" s="13">
        <v>2000000</v>
      </c>
      <c r="L21" t="s">
        <v>111</v>
      </c>
      <c r="Q21" s="182"/>
      <c r="R21" s="183"/>
    </row>
    <row r="22" spans="1:18" x14ac:dyDescent="0.2">
      <c r="B22">
        <v>2012</v>
      </c>
      <c r="C22">
        <v>2</v>
      </c>
      <c r="D22" s="13">
        <v>325000000</v>
      </c>
      <c r="F22" s="10">
        <v>41057</v>
      </c>
      <c r="G22">
        <f t="shared" si="0"/>
        <v>2012</v>
      </c>
      <c r="H22">
        <f t="shared" si="1"/>
        <v>2</v>
      </c>
      <c r="I22" s="14">
        <f t="shared" si="2"/>
        <v>149</v>
      </c>
      <c r="J22" s="14">
        <f t="shared" si="3"/>
        <v>58</v>
      </c>
      <c r="K22" s="13">
        <v>7000000</v>
      </c>
      <c r="L22" t="s">
        <v>112</v>
      </c>
      <c r="Q22" s="184"/>
      <c r="R22" s="185"/>
    </row>
    <row r="23" spans="1:18" x14ac:dyDescent="0.2">
      <c r="B23">
        <v>2012</v>
      </c>
      <c r="C23">
        <v>3</v>
      </c>
      <c r="D23" s="13">
        <v>326000000</v>
      </c>
      <c r="F23" s="10">
        <v>41059</v>
      </c>
      <c r="G23">
        <f t="shared" si="0"/>
        <v>2012</v>
      </c>
      <c r="H23">
        <f t="shared" si="1"/>
        <v>2</v>
      </c>
      <c r="I23" s="14">
        <f t="shared" si="2"/>
        <v>151</v>
      </c>
      <c r="J23" s="14">
        <f t="shared" si="3"/>
        <v>60</v>
      </c>
      <c r="K23" s="13">
        <v>23000000</v>
      </c>
      <c r="L23" t="s">
        <v>113</v>
      </c>
    </row>
    <row r="24" spans="1:18" x14ac:dyDescent="0.2">
      <c r="B24">
        <v>2012</v>
      </c>
      <c r="C24">
        <v>4</v>
      </c>
      <c r="D24" s="13">
        <v>320000000</v>
      </c>
      <c r="F24" s="10">
        <v>41219</v>
      </c>
      <c r="G24">
        <f t="shared" si="0"/>
        <v>2012</v>
      </c>
      <c r="H24">
        <f t="shared" si="1"/>
        <v>4</v>
      </c>
      <c r="I24" s="14">
        <f t="shared" si="2"/>
        <v>311</v>
      </c>
      <c r="J24" s="14">
        <f t="shared" si="3"/>
        <v>37</v>
      </c>
      <c r="K24" s="13">
        <v>8000000</v>
      </c>
      <c r="L24" t="s">
        <v>114</v>
      </c>
    </row>
    <row r="25" spans="1:18" x14ac:dyDescent="0.2">
      <c r="B25" s="10"/>
    </row>
    <row r="26" spans="1:18" x14ac:dyDescent="0.2">
      <c r="B26" s="10"/>
    </row>
    <row r="27" spans="1:18" x14ac:dyDescent="0.2">
      <c r="B27" s="10"/>
    </row>
    <row r="28" spans="1:18" x14ac:dyDescent="0.2">
      <c r="B28" s="21" t="s">
        <v>115</v>
      </c>
      <c r="C28" s="22" t="s">
        <v>124</v>
      </c>
      <c r="D28" s="20"/>
      <c r="E28" s="20"/>
      <c r="F28" s="20"/>
      <c r="G28" s="20"/>
      <c r="H28" s="20"/>
      <c r="I28" s="20"/>
    </row>
    <row r="29" spans="1:18" x14ac:dyDescent="0.2">
      <c r="B29" s="19"/>
      <c r="C29" s="20"/>
      <c r="D29" s="20"/>
      <c r="E29" s="20"/>
      <c r="F29" s="20"/>
      <c r="G29" s="20"/>
      <c r="H29" s="20"/>
      <c r="I29" s="20"/>
    </row>
    <row r="30" spans="1:18" x14ac:dyDescent="0.2">
      <c r="B30" s="19" t="s">
        <v>89</v>
      </c>
      <c r="C30" s="20" t="s">
        <v>117</v>
      </c>
      <c r="D30" s="33" t="s">
        <v>118</v>
      </c>
      <c r="E30" s="33"/>
      <c r="F30" s="33"/>
      <c r="G30" s="20"/>
      <c r="H30" s="20"/>
      <c r="I30" s="20"/>
    </row>
    <row r="31" spans="1:18" x14ac:dyDescent="0.2">
      <c r="B31" s="19"/>
      <c r="C31" s="20"/>
      <c r="D31" s="12"/>
      <c r="E31" s="12" t="s">
        <v>119</v>
      </c>
      <c r="F31" s="12"/>
      <c r="G31" s="20"/>
      <c r="H31" s="20"/>
      <c r="I31" s="20"/>
    </row>
    <row r="32" spans="1:18" x14ac:dyDescent="0.2">
      <c r="B32" s="19"/>
      <c r="C32" s="20"/>
      <c r="D32" s="20"/>
      <c r="E32" s="20"/>
      <c r="F32" s="20"/>
      <c r="G32" s="20"/>
      <c r="H32" s="20"/>
      <c r="I32" s="20"/>
    </row>
    <row r="33" spans="2:9" x14ac:dyDescent="0.2">
      <c r="B33" s="19"/>
      <c r="C33" s="20" t="s">
        <v>117</v>
      </c>
      <c r="D33" s="23"/>
      <c r="E33" s="23" t="str">
        <f>_xlfn.CONCAT(TEXT($D$20,"00,0"), " - ",TEXT($D$16,"00,0"), " - ",TEXT($K$19,"00,0")," + ",TEXT($K$18,"00,0")," + ",TEXT($K$20,"00,0"))</f>
        <v>290000000,0 - 271000000,0 - 25000000,0 + 7000000,0 + 7000000,0</v>
      </c>
      <c r="F33" s="23"/>
      <c r="G33" s="23"/>
      <c r="H33" s="20"/>
      <c r="I33" s="20"/>
    </row>
    <row r="34" spans="2:9" x14ac:dyDescent="0.2">
      <c r="B34" s="19"/>
      <c r="C34" s="20"/>
      <c r="D34" s="20" t="str">
        <f>_xlfn.CONCAT(TEXT($D$16,"00,0"), " + (",TEXT($K$19,"00,0"), " * ","(365 - ",TEXT($I$19,"00,0"),") / 365)"," - (",TEXT($K$18,"00,0"), " * ","(365 - ",TEXT($I$18,"00,0"),") / 365)"," - (",TEXT($K$20,"00,0"), " * ","(365 - ",TEXT($I$20,"00,0"),") / 365)")</f>
        <v>271000000,0 + (25000000,0 * (365 - 265,0) / 365) - (7000000,0 * (365 - 147,0) / 365) - (7000000,0 * (365 - 312,0) / 365)</v>
      </c>
      <c r="E34" s="20"/>
      <c r="F34" s="20"/>
      <c r="G34" s="20"/>
      <c r="H34" s="20"/>
      <c r="I34" s="20"/>
    </row>
    <row r="35" spans="2:9" x14ac:dyDescent="0.2">
      <c r="B35" s="19"/>
      <c r="C35" s="20"/>
      <c r="D35" s="20"/>
      <c r="E35" s="20"/>
      <c r="F35" s="20"/>
      <c r="G35" s="20"/>
      <c r="H35" s="20"/>
      <c r="I35" s="20"/>
    </row>
    <row r="36" spans="2:9" ht="15" x14ac:dyDescent="0.35">
      <c r="B36" s="19"/>
      <c r="C36" s="20" t="s">
        <v>117</v>
      </c>
      <c r="D36" s="24">
        <f>$D$20-$D$16-$K$19+$K$18+$K$20</f>
        <v>8000000</v>
      </c>
      <c r="E36" s="20"/>
      <c r="F36" s="20"/>
      <c r="G36" s="20"/>
      <c r="H36" s="20"/>
      <c r="I36" s="20"/>
    </row>
    <row r="37" spans="2:9" x14ac:dyDescent="0.2">
      <c r="B37" s="19"/>
      <c r="C37" s="20"/>
      <c r="D37" s="99">
        <f>$D$16 + ($K$19 * (365 - $I$19) / 365) - ($K$18 * (365 - $I$18) / 365) - ($K$20 * (365 - $I$20) / 365)</f>
        <v>272652054.7945205</v>
      </c>
      <c r="E37" s="20"/>
      <c r="F37" s="20"/>
      <c r="G37" s="20"/>
      <c r="H37" s="20"/>
      <c r="I37" s="20"/>
    </row>
    <row r="38" spans="2:9" x14ac:dyDescent="0.2">
      <c r="B38" s="19"/>
      <c r="C38" s="20"/>
      <c r="D38" s="20"/>
      <c r="E38" s="20"/>
      <c r="F38" s="20"/>
      <c r="G38" s="20"/>
      <c r="H38" s="20"/>
      <c r="I38" s="20"/>
    </row>
    <row r="39" spans="2:9" x14ac:dyDescent="0.2">
      <c r="B39" s="19"/>
      <c r="C39" s="20" t="s">
        <v>117</v>
      </c>
      <c r="D39" s="25">
        <f>D36/D37</f>
        <v>2.9341425671737781E-2</v>
      </c>
      <c r="E39" s="20"/>
      <c r="F39" s="20"/>
      <c r="G39" s="20"/>
      <c r="H39" s="20"/>
      <c r="I39" s="20"/>
    </row>
    <row r="40" spans="2:9" x14ac:dyDescent="0.2">
      <c r="B40" s="19"/>
      <c r="C40" s="20"/>
      <c r="D40" s="20"/>
      <c r="E40" s="20"/>
      <c r="F40" s="20"/>
      <c r="G40" s="20"/>
      <c r="H40" s="20"/>
      <c r="I40" s="20"/>
    </row>
    <row r="41" spans="2:9" x14ac:dyDescent="0.2">
      <c r="B41" s="10"/>
    </row>
    <row r="42" spans="2:9" x14ac:dyDescent="0.2">
      <c r="B42" s="10"/>
    </row>
    <row r="43" spans="2:9" x14ac:dyDescent="0.2">
      <c r="B43" s="10"/>
    </row>
    <row r="44" spans="2:9" x14ac:dyDescent="0.2">
      <c r="B44" s="21" t="s">
        <v>115</v>
      </c>
      <c r="C44" s="27" t="s">
        <v>125</v>
      </c>
      <c r="D44" s="12"/>
      <c r="E44" s="12"/>
      <c r="F44" s="12"/>
      <c r="G44" s="12"/>
      <c r="H44" s="12"/>
      <c r="I44" s="12"/>
    </row>
    <row r="45" spans="2:9" x14ac:dyDescent="0.2">
      <c r="B45" s="26"/>
      <c r="C45" s="12"/>
      <c r="D45" s="12"/>
      <c r="E45" s="12"/>
      <c r="F45" s="12"/>
      <c r="G45" s="12"/>
      <c r="H45" s="12"/>
      <c r="I45" s="12"/>
    </row>
    <row r="46" spans="2:9" x14ac:dyDescent="0.2">
      <c r="B46" s="26" t="s">
        <v>91</v>
      </c>
      <c r="C46" s="20" t="s">
        <v>117</v>
      </c>
      <c r="D46" s="33" t="s">
        <v>121</v>
      </c>
      <c r="E46" s="33"/>
      <c r="F46" s="33"/>
      <c r="G46" s="12"/>
      <c r="H46" s="12"/>
      <c r="I46" s="12"/>
    </row>
    <row r="47" spans="2:9" x14ac:dyDescent="0.2">
      <c r="B47" s="26"/>
      <c r="C47" s="20"/>
      <c r="D47" s="12" t="s">
        <v>119</v>
      </c>
      <c r="E47" s="12"/>
      <c r="F47" s="12"/>
      <c r="G47" s="12"/>
      <c r="H47" s="12"/>
      <c r="I47" s="12"/>
    </row>
    <row r="48" spans="2:9" x14ac:dyDescent="0.2">
      <c r="B48" s="26"/>
      <c r="C48" s="12"/>
      <c r="D48" s="12"/>
      <c r="E48" s="12"/>
      <c r="F48" s="12"/>
      <c r="G48" s="12"/>
      <c r="H48" s="12"/>
      <c r="I48" s="12"/>
    </row>
    <row r="49" spans="2:9" x14ac:dyDescent="0.2">
      <c r="B49" s="26"/>
      <c r="C49" s="12" t="s">
        <v>117</v>
      </c>
      <c r="D49" s="23"/>
      <c r="E49" s="23" t="str">
        <f>+_xlfn.CONCAT(TEXT($D$20,"00,0"), " - ",TEXT($D$16,"00,0"), " - ",TEXT($K$19,"00,0"))</f>
        <v>290000000,0 - 271000000,0 - 25000000,0</v>
      </c>
      <c r="F49" s="23"/>
      <c r="G49" s="23"/>
      <c r="H49" s="12"/>
      <c r="I49" s="12"/>
    </row>
    <row r="50" spans="2:9" x14ac:dyDescent="0.2">
      <c r="B50" s="26"/>
      <c r="C50" s="12"/>
      <c r="D50" s="12" t="str">
        <f>+_xlfn.CONCAT(TEXT($D$16,"00,0"), " + (",TEXT($K$19,"00,0"), " * ","(365 - ",TEXT($I$19,"00,0"),") / 365)"," - (",TEXT($K$18,"00,0"), " * ","(365 - ",TEXT($I$18,"00,0"),") / 365)"," - (",TEXT($K$20,"00,0"), " * ","(365 - ",TEXT($I$20,"00,0"),") / 365)")</f>
        <v>271000000,0 + (25000000,0 * (365 - 265,0) / 365) - (7000000,0 * (365 - 147,0) / 365) - (7000000,0 * (365 - 312,0) / 365)</v>
      </c>
      <c r="E50" s="12"/>
      <c r="F50" s="12"/>
      <c r="G50" s="12"/>
      <c r="H50" s="12"/>
      <c r="I50" s="12"/>
    </row>
    <row r="51" spans="2:9" x14ac:dyDescent="0.2">
      <c r="B51" s="26"/>
      <c r="C51" s="12"/>
      <c r="D51" s="12"/>
      <c r="E51" s="12"/>
      <c r="F51" s="12"/>
      <c r="G51" s="12"/>
      <c r="H51" s="12"/>
      <c r="I51" s="12"/>
    </row>
    <row r="52" spans="2:9" ht="15" x14ac:dyDescent="0.35">
      <c r="B52" s="26"/>
      <c r="C52" s="12" t="s">
        <v>117</v>
      </c>
      <c r="D52" s="24">
        <f>$D$20-$D$16-$K$19</f>
        <v>-6000000</v>
      </c>
      <c r="E52" s="12"/>
      <c r="F52" s="12"/>
      <c r="G52" s="12"/>
      <c r="H52" s="12"/>
      <c r="I52" s="12"/>
    </row>
    <row r="53" spans="2:9" x14ac:dyDescent="0.2">
      <c r="B53" s="26"/>
      <c r="C53" s="12"/>
      <c r="D53" s="102">
        <f>$D$16 + ($K$19 * (365 - $I$19) / 365) - ($K$18 * (365 - $I$18) / 365) - ($K$20 * (365 - $I$20) / 365)</f>
        <v>272652054.7945205</v>
      </c>
      <c r="E53" s="12"/>
      <c r="F53" s="12"/>
      <c r="G53" s="12"/>
      <c r="H53" s="12"/>
      <c r="I53" s="12"/>
    </row>
    <row r="54" spans="2:9" x14ac:dyDescent="0.2">
      <c r="B54" s="26"/>
      <c r="C54" s="12"/>
      <c r="D54" s="12"/>
      <c r="E54" s="12"/>
      <c r="F54" s="12"/>
      <c r="G54" s="12"/>
      <c r="H54" s="12"/>
      <c r="I54" s="12"/>
    </row>
    <row r="55" spans="2:9" x14ac:dyDescent="0.2">
      <c r="B55" s="26"/>
      <c r="C55" s="12" t="s">
        <v>117</v>
      </c>
      <c r="D55" s="28">
        <f>D52/D53</f>
        <v>-2.2006069253803336E-2</v>
      </c>
      <c r="E55" s="12"/>
      <c r="F55" s="12"/>
      <c r="G55" s="12"/>
      <c r="H55" s="12"/>
      <c r="I55" s="12"/>
    </row>
    <row r="56" spans="2:9" x14ac:dyDescent="0.2">
      <c r="B56" s="26"/>
      <c r="C56" s="12"/>
      <c r="D56" s="12"/>
      <c r="E56" s="12"/>
      <c r="F56" s="12"/>
      <c r="G56" s="12"/>
      <c r="H56" s="12"/>
      <c r="I56" s="12"/>
    </row>
    <row r="57" spans="2:9" x14ac:dyDescent="0.2">
      <c r="B57" s="10"/>
    </row>
    <row r="58" spans="2:9" x14ac:dyDescent="0.2">
      <c r="B58" s="10"/>
    </row>
    <row r="59" spans="2:9" x14ac:dyDescent="0.2">
      <c r="B59" s="10"/>
    </row>
    <row r="60" spans="2:9" x14ac:dyDescent="0.2">
      <c r="B60" s="21" t="s">
        <v>115</v>
      </c>
      <c r="C60" s="27" t="s">
        <v>126</v>
      </c>
      <c r="D60" s="12"/>
      <c r="E60" s="12"/>
      <c r="F60" s="12"/>
      <c r="G60" s="12"/>
      <c r="H60" s="12"/>
      <c r="I60" s="12"/>
    </row>
    <row r="61" spans="2:9" x14ac:dyDescent="0.2">
      <c r="B61" s="26"/>
      <c r="C61" s="12"/>
      <c r="D61" s="12"/>
      <c r="E61" s="12"/>
      <c r="F61" s="12"/>
      <c r="G61" s="12"/>
      <c r="H61" s="12"/>
      <c r="I61" s="12"/>
    </row>
    <row r="62" spans="2:9" x14ac:dyDescent="0.2">
      <c r="B62" s="26" t="s">
        <v>95</v>
      </c>
      <c r="C62" s="20" t="s">
        <v>117</v>
      </c>
      <c r="D62" s="34" t="s">
        <v>123</v>
      </c>
      <c r="E62" s="33"/>
      <c r="F62" s="12"/>
      <c r="G62" s="12"/>
      <c r="H62" s="12"/>
      <c r="I62" s="12"/>
    </row>
    <row r="63" spans="2:9" x14ac:dyDescent="0.2">
      <c r="B63" s="26"/>
      <c r="C63" s="20"/>
      <c r="D63" s="12" t="s">
        <v>119</v>
      </c>
      <c r="E63" s="12"/>
      <c r="F63" s="12"/>
      <c r="G63" s="12"/>
      <c r="H63" s="12"/>
      <c r="I63" s="12"/>
    </row>
    <row r="64" spans="2:9" x14ac:dyDescent="0.2">
      <c r="B64" s="26"/>
      <c r="C64" s="12"/>
      <c r="D64" s="12"/>
      <c r="E64" s="12"/>
      <c r="F64" s="12"/>
      <c r="G64" s="12"/>
      <c r="H64" s="12"/>
      <c r="I64" s="12"/>
    </row>
    <row r="65" spans="2:9" x14ac:dyDescent="0.2">
      <c r="B65" s="26"/>
      <c r="C65" s="12" t="s">
        <v>117</v>
      </c>
      <c r="D65" s="23"/>
      <c r="E65" s="23"/>
      <c r="F65" s="23" t="str">
        <f>_xlfn.CONCAT(TEXT($K$18,"00,0")," + ",TEXT($K$20,"00,0"))</f>
        <v>7000000,0 + 7000000,0</v>
      </c>
      <c r="G65" s="23"/>
      <c r="H65" s="12"/>
      <c r="I65" s="12"/>
    </row>
    <row r="66" spans="2:9" x14ac:dyDescent="0.2">
      <c r="B66" s="26"/>
      <c r="C66" s="12"/>
      <c r="D66" s="12" t="str">
        <f>_xlfn.CONCAT(TEXT($D$16,"00,0"), " + (",TEXT($K$19,"00,0"), " * ","(365 - ",TEXT($I$19,"00,0"),") / 365)"," - (",TEXT($K$18,"00,0"), " * ","(365 - ",TEXT($I$18,"00,0"),") / 365)"," - (",TEXT($K$20,"00,0"), " * ","(365 - ",TEXT($I$20,"00,0"),") / 365)")</f>
        <v>271000000,0 + (25000000,0 * (365 - 265,0) / 365) - (7000000,0 * (365 - 147,0) / 365) - (7000000,0 * (365 - 312,0) / 365)</v>
      </c>
      <c r="E66" s="12"/>
      <c r="F66" s="12"/>
      <c r="G66" s="12"/>
      <c r="H66" s="12"/>
      <c r="I66" s="12"/>
    </row>
    <row r="67" spans="2:9" x14ac:dyDescent="0.2">
      <c r="B67" s="26"/>
      <c r="C67" s="12"/>
      <c r="D67" s="12"/>
      <c r="E67" s="12"/>
      <c r="F67" s="12"/>
      <c r="G67" s="12"/>
      <c r="H67" s="12"/>
      <c r="I67" s="12"/>
    </row>
    <row r="68" spans="2:9" ht="15" x14ac:dyDescent="0.35">
      <c r="B68" s="26"/>
      <c r="C68" s="12" t="s">
        <v>117</v>
      </c>
      <c r="D68" s="24">
        <f>$K$18+$K$20</f>
        <v>14000000</v>
      </c>
      <c r="E68" s="12"/>
      <c r="F68" s="12"/>
      <c r="G68" s="12"/>
      <c r="H68" s="12"/>
      <c r="I68" s="12"/>
    </row>
    <row r="69" spans="2:9" x14ac:dyDescent="0.2">
      <c r="B69" s="26"/>
      <c r="C69" s="12"/>
      <c r="D69" s="102">
        <f>$D$16 + ($K$19 * (365 - $I$19) / 365) - ($K$18 * (365 - $I$18) / 365) - ($K$20 * (365 - $I$20) / 365)</f>
        <v>272652054.7945205</v>
      </c>
      <c r="E69" s="12"/>
      <c r="F69" s="12"/>
      <c r="G69" s="12"/>
      <c r="H69" s="12"/>
      <c r="I69" s="12"/>
    </row>
    <row r="70" spans="2:9" x14ac:dyDescent="0.2">
      <c r="B70" s="26"/>
      <c r="C70" s="12"/>
      <c r="D70" s="12"/>
      <c r="E70" s="12"/>
      <c r="F70" s="12"/>
      <c r="G70" s="12"/>
      <c r="H70" s="12"/>
      <c r="I70" s="12"/>
    </row>
    <row r="71" spans="2:9" x14ac:dyDescent="0.2">
      <c r="B71" s="26"/>
      <c r="C71" s="12" t="s">
        <v>117</v>
      </c>
      <c r="D71" s="28">
        <f>D68/D69</f>
        <v>5.1347494925541116E-2</v>
      </c>
      <c r="E71" s="12"/>
      <c r="F71" s="12"/>
      <c r="G71" s="12"/>
      <c r="H71" s="12"/>
      <c r="I71" s="12"/>
    </row>
    <row r="72" spans="2:9" x14ac:dyDescent="0.2">
      <c r="B72" s="26"/>
      <c r="C72" s="12"/>
      <c r="D72" s="12"/>
      <c r="E72" s="12"/>
      <c r="F72" s="12"/>
      <c r="G72" s="12"/>
      <c r="H72" s="12"/>
      <c r="I72" s="12"/>
    </row>
  </sheetData>
  <sortState xmlns:xlrd2="http://schemas.microsoft.com/office/spreadsheetml/2017/richdata2" ref="F12:L24">
    <sortCondition ref="F12:F24"/>
  </sortState>
  <mergeCells count="3">
    <mergeCell ref="F4:G6"/>
    <mergeCell ref="H1:L1"/>
    <mergeCell ref="Q20:R22"/>
  </mergeCells>
  <hyperlinks>
    <hyperlink ref="H1:L1" location="'Table of Contents'!A1" display="Back to Table of Contents" xr:uid="{0B263DAD-4895-4BAF-BFD6-F493D33907C6}"/>
    <hyperlink ref="Q20:R22" r:id="rId1" location="inrev-guidelines" display="For more information about Performance Measurement visit the INREV Guidelines on Performance Measurement." xr:uid="{F35F38B8-4E18-4284-82EB-A456DE31A818}"/>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365A3-C904-4C59-8B61-DF21621F5497}">
  <sheetPr>
    <tabColor theme="4"/>
  </sheetPr>
  <dimension ref="A1:R72"/>
  <sheetViews>
    <sheetView showGridLines="0" zoomScaleNormal="100" zoomScalePageLayoutView="85" workbookViewId="0">
      <pane ySplit="6" topLeftCell="A7" activePane="bottomLeft" state="frozen"/>
      <selection activeCell="B16" sqref="B16"/>
      <selection pane="bottomLeft"/>
    </sheetView>
  </sheetViews>
  <sheetFormatPr defaultColWidth="8.7109375" defaultRowHeight="12.75" x14ac:dyDescent="0.2"/>
  <cols>
    <col min="1" max="1" width="7.28515625" style="7" customWidth="1"/>
    <col min="2" max="2" width="22.28515625" customWidth="1"/>
    <col min="3" max="8" width="17.7109375" customWidth="1"/>
    <col min="10" max="10" width="13.5703125" bestFit="1" customWidth="1"/>
    <col min="11" max="11" width="14" customWidth="1"/>
    <col min="12" max="12" width="15.7109375" bestFit="1" customWidth="1"/>
    <col min="14" max="14" width="21.7109375" bestFit="1" customWidth="1"/>
    <col min="18" max="18" width="46.28515625" bestFit="1" customWidth="1"/>
  </cols>
  <sheetData>
    <row r="1" spans="1:18" s="1" customFormat="1" ht="34.9" customHeight="1" x14ac:dyDescent="0.2">
      <c r="A1" s="6"/>
      <c r="B1" s="2" t="str">
        <f ca="1">MID(CELL("filename",A1),FIND("]",CELL("filename",A1))+ 1,255)&amp;" - calculation example"</f>
        <v>Single year return 2012 - calculation example</v>
      </c>
      <c r="H1" s="181" t="s">
        <v>68</v>
      </c>
      <c r="I1" s="181"/>
      <c r="J1" s="181"/>
      <c r="K1" s="181"/>
      <c r="L1" s="181"/>
    </row>
    <row r="3" spans="1:18" x14ac:dyDescent="0.2">
      <c r="A3"/>
    </row>
    <row r="4" spans="1:18" x14ac:dyDescent="0.2">
      <c r="A4"/>
      <c r="B4" s="12" t="s">
        <v>69</v>
      </c>
      <c r="C4" s="12" t="s">
        <v>70</v>
      </c>
      <c r="D4" s="118" t="s">
        <v>127</v>
      </c>
      <c r="E4" s="118"/>
      <c r="F4" s="180" t="s">
        <v>71</v>
      </c>
      <c r="G4" s="180"/>
    </row>
    <row r="5" spans="1:18" x14ac:dyDescent="0.2">
      <c r="A5"/>
      <c r="B5" s="12" t="s">
        <v>72</v>
      </c>
      <c r="C5" s="12" t="s">
        <v>73</v>
      </c>
      <c r="F5" s="180"/>
      <c r="G5" s="180"/>
    </row>
    <row r="6" spans="1:18" x14ac:dyDescent="0.2">
      <c r="A6"/>
      <c r="B6" s="12" t="s">
        <v>74</v>
      </c>
      <c r="C6" s="12" t="s">
        <v>75</v>
      </c>
      <c r="F6" s="180"/>
      <c r="G6" s="180"/>
    </row>
    <row r="7" spans="1:18" x14ac:dyDescent="0.2">
      <c r="A7"/>
    </row>
    <row r="8" spans="1:18" x14ac:dyDescent="0.2">
      <c r="A8"/>
    </row>
    <row r="9" spans="1:18" x14ac:dyDescent="0.2">
      <c r="A9"/>
    </row>
    <row r="10" spans="1:18" x14ac:dyDescent="0.2">
      <c r="A10"/>
      <c r="B10" s="3" t="s">
        <v>76</v>
      </c>
      <c r="F10" s="3" t="s">
        <v>77</v>
      </c>
      <c r="N10" s="3" t="s">
        <v>78</v>
      </c>
    </row>
    <row r="11" spans="1:18" ht="12.75" customHeight="1" x14ac:dyDescent="0.2">
      <c r="A11"/>
      <c r="B11" s="4" t="s">
        <v>79</v>
      </c>
      <c r="C11" s="4" t="s">
        <v>80</v>
      </c>
      <c r="D11" s="4" t="s">
        <v>81</v>
      </c>
      <c r="F11" s="4" t="s">
        <v>82</v>
      </c>
      <c r="G11" s="4" t="s">
        <v>79</v>
      </c>
      <c r="H11" s="4" t="s">
        <v>80</v>
      </c>
      <c r="I11" s="4" t="s">
        <v>83</v>
      </c>
      <c r="J11" s="4" t="s">
        <v>84</v>
      </c>
      <c r="K11" s="4" t="s">
        <v>85</v>
      </c>
      <c r="L11" s="4" t="s">
        <v>86</v>
      </c>
      <c r="N11" s="56"/>
      <c r="O11" s="4">
        <v>2012</v>
      </c>
      <c r="Q11" s="128" t="s">
        <v>87</v>
      </c>
      <c r="R11" s="122"/>
    </row>
    <row r="12" spans="1:18" x14ac:dyDescent="0.2">
      <c r="A12"/>
      <c r="B12">
        <v>2009</v>
      </c>
      <c r="C12">
        <v>4</v>
      </c>
      <c r="D12" s="13">
        <v>150000000</v>
      </c>
      <c r="F12" s="10">
        <v>40220</v>
      </c>
      <c r="G12">
        <f t="shared" ref="G12:G24" si="0">YEAR(F12)</f>
        <v>2010</v>
      </c>
      <c r="H12">
        <f t="shared" ref="H12:H24" si="1">ROUNDUP(MONTH(F12)/3,0)</f>
        <v>1</v>
      </c>
      <c r="I12" s="14">
        <f t="shared" ref="I12:I24" si="2">F12-DATE(YEAR(F12)-1,12,31)</f>
        <v>42</v>
      </c>
      <c r="J12" s="14">
        <f t="shared" ref="J12:J24" si="3">F12-EOMONTH(DATE(G12,H12*3,1),-3)</f>
        <v>42</v>
      </c>
      <c r="K12" s="13">
        <v>26000000</v>
      </c>
      <c r="L12" t="s">
        <v>88</v>
      </c>
      <c r="N12" t="s">
        <v>89</v>
      </c>
      <c r="O12" s="57">
        <f>D39</f>
        <v>8.0991369772073468E-2</v>
      </c>
      <c r="Q12" s="123"/>
      <c r="R12" s="124"/>
    </row>
    <row r="13" spans="1:18" x14ac:dyDescent="0.2">
      <c r="A13"/>
      <c r="B13">
        <v>2010</v>
      </c>
      <c r="C13">
        <v>1</v>
      </c>
      <c r="D13" s="13">
        <v>175000000</v>
      </c>
      <c r="F13" s="10">
        <v>40305</v>
      </c>
      <c r="G13">
        <f t="shared" si="0"/>
        <v>2010</v>
      </c>
      <c r="H13">
        <f t="shared" si="1"/>
        <v>2</v>
      </c>
      <c r="I13" s="14">
        <f t="shared" si="2"/>
        <v>127</v>
      </c>
      <c r="J13" s="14">
        <f t="shared" si="3"/>
        <v>37</v>
      </c>
      <c r="K13" s="13">
        <v>39000000</v>
      </c>
      <c r="L13" t="s">
        <v>90</v>
      </c>
      <c r="N13" t="s">
        <v>91</v>
      </c>
      <c r="O13" s="57">
        <f>D55</f>
        <v>3.0371763664527551E-2</v>
      </c>
      <c r="Q13" s="125" t="s">
        <v>92</v>
      </c>
      <c r="R13" s="124" t="s">
        <v>93</v>
      </c>
    </row>
    <row r="14" spans="1:18" s="29" customFormat="1" x14ac:dyDescent="0.2">
      <c r="B14" s="29">
        <v>2010</v>
      </c>
      <c r="C14" s="29">
        <v>2</v>
      </c>
      <c r="D14" s="30">
        <v>235000000</v>
      </c>
      <c r="F14" s="31">
        <v>40305</v>
      </c>
      <c r="G14" s="29">
        <f t="shared" si="0"/>
        <v>2010</v>
      </c>
      <c r="H14" s="29">
        <f t="shared" si="1"/>
        <v>2</v>
      </c>
      <c r="I14" s="32">
        <f t="shared" si="2"/>
        <v>127</v>
      </c>
      <c r="J14" s="32">
        <f t="shared" si="3"/>
        <v>37</v>
      </c>
      <c r="K14" s="30">
        <v>25000000</v>
      </c>
      <c r="L14" s="29" t="s">
        <v>94</v>
      </c>
      <c r="N14" t="s">
        <v>95</v>
      </c>
      <c r="O14" s="57">
        <f>D71</f>
        <v>5.0619606107545921E-2</v>
      </c>
      <c r="Q14" s="125" t="s">
        <v>96</v>
      </c>
      <c r="R14" s="124" t="s">
        <v>97</v>
      </c>
    </row>
    <row r="15" spans="1:18" s="29" customFormat="1" x14ac:dyDescent="0.2">
      <c r="B15" s="29">
        <v>2010</v>
      </c>
      <c r="C15" s="29">
        <v>3</v>
      </c>
      <c r="D15" s="30">
        <v>236000000</v>
      </c>
      <c r="F15" s="31">
        <v>40325</v>
      </c>
      <c r="G15" s="29">
        <f t="shared" si="0"/>
        <v>2010</v>
      </c>
      <c r="H15" s="29">
        <f t="shared" si="1"/>
        <v>2</v>
      </c>
      <c r="I15" s="32">
        <f t="shared" si="2"/>
        <v>147</v>
      </c>
      <c r="J15" s="32">
        <f t="shared" si="3"/>
        <v>57</v>
      </c>
      <c r="K15" s="30">
        <v>6000000</v>
      </c>
      <c r="L15" s="29" t="s">
        <v>98</v>
      </c>
      <c r="Q15" s="125" t="s">
        <v>99</v>
      </c>
      <c r="R15" s="124" t="s">
        <v>100</v>
      </c>
    </row>
    <row r="16" spans="1:18" s="29" customFormat="1" x14ac:dyDescent="0.2">
      <c r="B16" s="29">
        <v>2010</v>
      </c>
      <c r="C16" s="29">
        <v>4</v>
      </c>
      <c r="D16" s="30">
        <v>271000000</v>
      </c>
      <c r="F16" s="31">
        <v>40484</v>
      </c>
      <c r="G16" s="29">
        <f t="shared" si="0"/>
        <v>2010</v>
      </c>
      <c r="H16" s="29">
        <f t="shared" si="1"/>
        <v>4</v>
      </c>
      <c r="I16" s="32">
        <f t="shared" si="2"/>
        <v>306</v>
      </c>
      <c r="J16" s="32">
        <f t="shared" si="3"/>
        <v>33</v>
      </c>
      <c r="K16" s="30">
        <v>6000000</v>
      </c>
      <c r="L16" s="29" t="s">
        <v>101</v>
      </c>
      <c r="Q16" s="125" t="s">
        <v>102</v>
      </c>
      <c r="R16" s="124" t="s">
        <v>103</v>
      </c>
    </row>
    <row r="17" spans="1:18" s="29" customFormat="1" x14ac:dyDescent="0.2">
      <c r="B17" s="29">
        <v>2011</v>
      </c>
      <c r="C17" s="29">
        <v>1</v>
      </c>
      <c r="D17" s="30">
        <v>275000000</v>
      </c>
      <c r="F17" s="31">
        <v>40508</v>
      </c>
      <c r="G17" s="29">
        <f t="shared" si="0"/>
        <v>2010</v>
      </c>
      <c r="H17" s="29">
        <f t="shared" si="1"/>
        <v>4</v>
      </c>
      <c r="I17" s="32">
        <f t="shared" si="2"/>
        <v>330</v>
      </c>
      <c r="J17" s="32">
        <f t="shared" si="3"/>
        <v>57</v>
      </c>
      <c r="K17" s="30">
        <v>35000000</v>
      </c>
      <c r="L17" s="29" t="s">
        <v>104</v>
      </c>
      <c r="Q17" s="125" t="s">
        <v>105</v>
      </c>
      <c r="R17" s="124" t="s">
        <v>106</v>
      </c>
    </row>
    <row r="18" spans="1:18" s="29" customFormat="1" x14ac:dyDescent="0.2">
      <c r="A18" s="36"/>
      <c r="B18" s="29">
        <v>2011</v>
      </c>
      <c r="C18" s="29">
        <v>2</v>
      </c>
      <c r="D18" s="30">
        <v>266000000</v>
      </c>
      <c r="F18" s="31">
        <v>40690</v>
      </c>
      <c r="G18" s="29">
        <f t="shared" si="0"/>
        <v>2011</v>
      </c>
      <c r="H18" s="29">
        <f t="shared" si="1"/>
        <v>2</v>
      </c>
      <c r="I18" s="32">
        <f t="shared" si="2"/>
        <v>147</v>
      </c>
      <c r="J18" s="32">
        <f t="shared" si="3"/>
        <v>57</v>
      </c>
      <c r="K18" s="30">
        <v>7000000</v>
      </c>
      <c r="L18" s="29" t="s">
        <v>107</v>
      </c>
      <c r="Q18" s="126"/>
      <c r="R18" s="124"/>
    </row>
    <row r="19" spans="1:18" s="29" customFormat="1" x14ac:dyDescent="0.2">
      <c r="A19" s="36"/>
      <c r="B19" s="29">
        <v>2011</v>
      </c>
      <c r="C19" s="29">
        <v>3</v>
      </c>
      <c r="D19" s="30">
        <v>293000000</v>
      </c>
      <c r="F19" s="31">
        <v>40808</v>
      </c>
      <c r="G19" s="29">
        <f t="shared" si="0"/>
        <v>2011</v>
      </c>
      <c r="H19" s="29">
        <f t="shared" si="1"/>
        <v>3</v>
      </c>
      <c r="I19" s="32">
        <f t="shared" si="2"/>
        <v>265</v>
      </c>
      <c r="J19" s="32">
        <f t="shared" si="3"/>
        <v>84</v>
      </c>
      <c r="K19" s="30">
        <v>25000000</v>
      </c>
      <c r="L19" s="29" t="s">
        <v>108</v>
      </c>
      <c r="Q19" s="123"/>
      <c r="R19" s="124"/>
    </row>
    <row r="20" spans="1:18" s="29" customFormat="1" ht="12.75" customHeight="1" x14ac:dyDescent="0.2">
      <c r="A20" s="36"/>
      <c r="B20" s="16">
        <v>2011</v>
      </c>
      <c r="C20" s="16">
        <v>4</v>
      </c>
      <c r="D20" s="18">
        <v>290000000</v>
      </c>
      <c r="F20" s="31">
        <v>40855</v>
      </c>
      <c r="G20" s="29">
        <f t="shared" si="0"/>
        <v>2011</v>
      </c>
      <c r="H20" s="29">
        <f t="shared" si="1"/>
        <v>4</v>
      </c>
      <c r="I20" s="32">
        <f t="shared" si="2"/>
        <v>312</v>
      </c>
      <c r="J20" s="32">
        <f t="shared" si="3"/>
        <v>39</v>
      </c>
      <c r="K20" s="30">
        <v>7000000</v>
      </c>
      <c r="L20" s="29" t="s">
        <v>109</v>
      </c>
      <c r="Q20" s="182" t="s">
        <v>110</v>
      </c>
      <c r="R20" s="183"/>
    </row>
    <row r="21" spans="1:18" s="29" customFormat="1" x14ac:dyDescent="0.2">
      <c r="B21" s="29">
        <v>2012</v>
      </c>
      <c r="C21" s="29">
        <v>1</v>
      </c>
      <c r="D21" s="30">
        <v>295000000</v>
      </c>
      <c r="F21" s="15">
        <v>40939</v>
      </c>
      <c r="G21" s="16">
        <f t="shared" si="0"/>
        <v>2012</v>
      </c>
      <c r="H21" s="16">
        <f t="shared" si="1"/>
        <v>1</v>
      </c>
      <c r="I21" s="17">
        <f t="shared" si="2"/>
        <v>31</v>
      </c>
      <c r="J21" s="17">
        <f t="shared" si="3"/>
        <v>31</v>
      </c>
      <c r="K21" s="18">
        <v>2000000</v>
      </c>
      <c r="L21" s="16" t="s">
        <v>111</v>
      </c>
      <c r="Q21" s="182"/>
      <c r="R21" s="183"/>
    </row>
    <row r="22" spans="1:18" s="29" customFormat="1" x14ac:dyDescent="0.2">
      <c r="A22" s="36"/>
      <c r="B22" s="29">
        <v>2012</v>
      </c>
      <c r="C22" s="29">
        <v>2</v>
      </c>
      <c r="D22" s="30">
        <v>325000000</v>
      </c>
      <c r="F22" s="15">
        <v>41057</v>
      </c>
      <c r="G22" s="16">
        <f t="shared" si="0"/>
        <v>2012</v>
      </c>
      <c r="H22" s="16">
        <f t="shared" si="1"/>
        <v>2</v>
      </c>
      <c r="I22" s="17">
        <f t="shared" si="2"/>
        <v>149</v>
      </c>
      <c r="J22" s="17">
        <f t="shared" si="3"/>
        <v>58</v>
      </c>
      <c r="K22" s="18">
        <v>7000000</v>
      </c>
      <c r="L22" s="16" t="s">
        <v>112</v>
      </c>
      <c r="Q22" s="184"/>
      <c r="R22" s="185"/>
    </row>
    <row r="23" spans="1:18" s="29" customFormat="1" x14ac:dyDescent="0.2">
      <c r="A23" s="36"/>
      <c r="B23" s="29">
        <v>2012</v>
      </c>
      <c r="C23" s="29">
        <v>3</v>
      </c>
      <c r="D23" s="30">
        <v>326000000</v>
      </c>
      <c r="F23" s="15">
        <v>41059</v>
      </c>
      <c r="G23" s="16">
        <f t="shared" si="0"/>
        <v>2012</v>
      </c>
      <c r="H23" s="16">
        <f t="shared" si="1"/>
        <v>2</v>
      </c>
      <c r="I23" s="17">
        <f t="shared" si="2"/>
        <v>151</v>
      </c>
      <c r="J23" s="17">
        <f t="shared" si="3"/>
        <v>60</v>
      </c>
      <c r="K23" s="18">
        <v>23000000</v>
      </c>
      <c r="L23" s="16" t="s">
        <v>113</v>
      </c>
    </row>
    <row r="24" spans="1:18" s="29" customFormat="1" x14ac:dyDescent="0.2">
      <c r="A24" s="36"/>
      <c r="B24" s="16">
        <v>2012</v>
      </c>
      <c r="C24" s="16">
        <v>4</v>
      </c>
      <c r="D24" s="18">
        <v>320000000</v>
      </c>
      <c r="F24" s="15">
        <v>41219</v>
      </c>
      <c r="G24" s="16">
        <f t="shared" si="0"/>
        <v>2012</v>
      </c>
      <c r="H24" s="16">
        <f t="shared" si="1"/>
        <v>4</v>
      </c>
      <c r="I24" s="17">
        <f t="shared" si="2"/>
        <v>311</v>
      </c>
      <c r="J24" s="17">
        <f t="shared" si="3"/>
        <v>37</v>
      </c>
      <c r="K24" s="18">
        <v>8000000</v>
      </c>
      <c r="L24" s="16" t="s">
        <v>114</v>
      </c>
    </row>
    <row r="25" spans="1:18" x14ac:dyDescent="0.2">
      <c r="B25" s="10"/>
    </row>
    <row r="26" spans="1:18" x14ac:dyDescent="0.2">
      <c r="B26" s="10"/>
    </row>
    <row r="27" spans="1:18" x14ac:dyDescent="0.2">
      <c r="B27" s="10"/>
    </row>
    <row r="28" spans="1:18" x14ac:dyDescent="0.2">
      <c r="B28" s="21" t="s">
        <v>115</v>
      </c>
      <c r="C28" s="22" t="s">
        <v>128</v>
      </c>
      <c r="D28" s="20"/>
      <c r="E28" s="20"/>
      <c r="F28" s="20"/>
      <c r="G28" s="20"/>
      <c r="H28" s="20"/>
      <c r="I28" s="12"/>
      <c r="J28" s="12"/>
      <c r="K28" s="12"/>
    </row>
    <row r="29" spans="1:18" x14ac:dyDescent="0.2">
      <c r="B29" s="19"/>
      <c r="C29" s="20"/>
      <c r="D29" s="20"/>
      <c r="E29" s="20"/>
      <c r="F29" s="20"/>
      <c r="G29" s="20"/>
      <c r="H29" s="20"/>
      <c r="I29" s="12"/>
      <c r="J29" s="12"/>
      <c r="K29" s="12"/>
    </row>
    <row r="30" spans="1:18" x14ac:dyDescent="0.2">
      <c r="B30" s="19" t="s">
        <v>89</v>
      </c>
      <c r="C30" s="20" t="s">
        <v>117</v>
      </c>
      <c r="D30" s="33" t="s">
        <v>118</v>
      </c>
      <c r="E30" s="33"/>
      <c r="F30" s="33"/>
      <c r="G30" s="20"/>
      <c r="H30" s="20"/>
      <c r="I30" s="12"/>
      <c r="J30" s="12"/>
      <c r="K30" s="12"/>
    </row>
    <row r="31" spans="1:18" x14ac:dyDescent="0.2">
      <c r="B31" s="19"/>
      <c r="C31" s="20"/>
      <c r="D31" s="12"/>
      <c r="E31" s="12" t="s">
        <v>119</v>
      </c>
      <c r="F31" s="12"/>
      <c r="G31" s="20"/>
      <c r="H31" s="20"/>
      <c r="I31" s="12"/>
      <c r="J31" s="12"/>
      <c r="K31" s="12"/>
    </row>
    <row r="32" spans="1:18" x14ac:dyDescent="0.2">
      <c r="B32" s="19"/>
      <c r="C32" s="20"/>
      <c r="D32" s="20"/>
      <c r="E32" s="20"/>
      <c r="F32" s="20"/>
      <c r="G32" s="20"/>
      <c r="H32" s="20"/>
      <c r="I32" s="12"/>
      <c r="J32" s="12"/>
      <c r="K32" s="12"/>
    </row>
    <row r="33" spans="2:11" x14ac:dyDescent="0.2">
      <c r="B33" s="19"/>
      <c r="C33" s="20" t="s">
        <v>117</v>
      </c>
      <c r="D33" s="23"/>
      <c r="E33" s="23" t="str">
        <f>_xlfn.CONCAT(TEXT($D$24,"00,0"), " - ",TEXT($D$20,"00,0"), " - ",TEXT($K$23,"00,0")," + ",TEXT($K$21,"00,0")," + ",TEXT($K$22,"00,0")," + ",TEXT($K$24,"00,0"))</f>
        <v>320000000,0 - 290000000,0 - 23000000,0 + 2000000,0 + 7000000,0 + 8000000,0</v>
      </c>
      <c r="F33" s="23"/>
      <c r="G33" s="23"/>
      <c r="H33" s="20"/>
      <c r="I33" s="12"/>
      <c r="J33" s="12"/>
      <c r="K33" s="12"/>
    </row>
    <row r="34" spans="2:11" x14ac:dyDescent="0.2">
      <c r="B34" s="19"/>
      <c r="C34" s="20"/>
      <c r="D34" s="20" t="str">
        <f>_xlfn.CONCAT(TEXT($D$20,"00,0"), " + (",TEXT($K$23,"00,0"), " * ","(366 - ",TEXT($I$23,"00,0"),") / 366)"," - (",TEXT($K$21,"00,0"), " * ","(366 - ",TEXT($I$21,"0,0"),") / 366)"," - (",TEXT($K$22,"00,0"), " * ","(366 - ",TEXT($I$22,"00,0"),") / 366)"," - (",TEXT($K$24,"00,0"), " * ","(366 - ",TEXT($I$24,"00,0"),") / 366)")</f>
        <v>290000000,0 + (23000000,0 * (366 - 151,0) / 366) - (2000000,0 * (366 - 31,0) / 366) - (7000000,0 * (366 - 149,0) / 366) - (8000000,0 * (366 - 311,0) / 366)</v>
      </c>
      <c r="E34" s="20"/>
      <c r="F34" s="20"/>
      <c r="G34" s="20"/>
      <c r="H34" s="20"/>
      <c r="I34" s="12"/>
      <c r="J34" s="12"/>
      <c r="K34" s="12"/>
    </row>
    <row r="35" spans="2:11" x14ac:dyDescent="0.2">
      <c r="B35" s="19"/>
      <c r="C35" s="20"/>
      <c r="D35" s="20"/>
      <c r="E35" s="20"/>
      <c r="F35" s="20"/>
      <c r="G35" s="20"/>
      <c r="H35" s="20"/>
      <c r="I35" s="12"/>
      <c r="J35" s="12"/>
      <c r="K35" s="12"/>
    </row>
    <row r="36" spans="2:11" x14ac:dyDescent="0.2">
      <c r="B36" s="19"/>
      <c r="C36" s="20" t="s">
        <v>117</v>
      </c>
      <c r="D36" s="35">
        <f>$D$24-$D$20-$K$23+$K$21+$K$22+$K$24</f>
        <v>24000000</v>
      </c>
      <c r="E36" s="20"/>
      <c r="F36" s="20"/>
      <c r="G36" s="20"/>
      <c r="H36" s="20"/>
      <c r="I36" s="12"/>
      <c r="J36" s="12"/>
      <c r="K36" s="12"/>
    </row>
    <row r="37" spans="2:11" x14ac:dyDescent="0.2">
      <c r="B37" s="19"/>
      <c r="C37" s="20"/>
      <c r="D37" s="99">
        <f>$D$20 + ($K$23 * (366 - $I$23) / 366) - ($K$21 * (366 - $I$21) / 366) - ($K$22 * (366 - $I$22) / 366) - ($K$24 * ((366 - $I$24) / 366))</f>
        <v>296327868.85245901</v>
      </c>
      <c r="E37" s="20"/>
      <c r="F37" s="20"/>
      <c r="G37" s="20"/>
      <c r="H37" s="20"/>
      <c r="I37" s="12"/>
      <c r="J37" s="12"/>
      <c r="K37" s="12"/>
    </row>
    <row r="38" spans="2:11" x14ac:dyDescent="0.2">
      <c r="B38" s="19"/>
      <c r="C38" s="20"/>
      <c r="D38" s="20"/>
      <c r="E38" s="20"/>
      <c r="F38" s="20"/>
      <c r="G38" s="20"/>
      <c r="H38" s="20"/>
      <c r="I38" s="12"/>
      <c r="J38" s="12"/>
      <c r="K38" s="12"/>
    </row>
    <row r="39" spans="2:11" x14ac:dyDescent="0.2">
      <c r="B39" s="19"/>
      <c r="C39" s="20" t="s">
        <v>117</v>
      </c>
      <c r="D39" s="25">
        <f>D36/D37</f>
        <v>8.0991369772073468E-2</v>
      </c>
      <c r="E39" s="20"/>
      <c r="F39" s="20"/>
      <c r="G39" s="20"/>
      <c r="H39" s="20"/>
      <c r="I39" s="12"/>
      <c r="J39" s="12"/>
      <c r="K39" s="12"/>
    </row>
    <row r="40" spans="2:11" x14ac:dyDescent="0.2">
      <c r="B40" s="19"/>
      <c r="C40" s="20"/>
      <c r="D40" s="20"/>
      <c r="E40" s="20"/>
      <c r="F40" s="20"/>
      <c r="G40" s="20"/>
      <c r="H40" s="20"/>
      <c r="I40" s="12"/>
      <c r="J40" s="12"/>
      <c r="K40" s="12"/>
    </row>
    <row r="41" spans="2:11" x14ac:dyDescent="0.2">
      <c r="B41" s="10"/>
    </row>
    <row r="42" spans="2:11" x14ac:dyDescent="0.2">
      <c r="B42" s="10"/>
    </row>
    <row r="43" spans="2:11" x14ac:dyDescent="0.2">
      <c r="B43" s="10"/>
    </row>
    <row r="44" spans="2:11" x14ac:dyDescent="0.2">
      <c r="B44" s="21" t="s">
        <v>115</v>
      </c>
      <c r="C44" s="27" t="s">
        <v>129</v>
      </c>
      <c r="D44" s="12"/>
      <c r="E44" s="12"/>
      <c r="F44" s="12"/>
      <c r="G44" s="12"/>
      <c r="H44" s="12"/>
      <c r="I44" s="12"/>
      <c r="J44" s="12"/>
      <c r="K44" s="12"/>
    </row>
    <row r="45" spans="2:11" x14ac:dyDescent="0.2">
      <c r="B45" s="26"/>
      <c r="C45" s="12"/>
      <c r="D45" s="12"/>
      <c r="E45" s="12"/>
      <c r="F45" s="12"/>
      <c r="G45" s="12"/>
      <c r="H45" s="12"/>
      <c r="I45" s="12"/>
      <c r="J45" s="12"/>
      <c r="K45" s="12"/>
    </row>
    <row r="46" spans="2:11" x14ac:dyDescent="0.2">
      <c r="B46" s="26" t="s">
        <v>91</v>
      </c>
      <c r="C46" s="20" t="s">
        <v>117</v>
      </c>
      <c r="D46" s="33" t="s">
        <v>121</v>
      </c>
      <c r="E46" s="33"/>
      <c r="F46" s="33"/>
      <c r="G46" s="12"/>
      <c r="H46" s="12"/>
      <c r="I46" s="12"/>
      <c r="J46" s="12"/>
      <c r="K46" s="12"/>
    </row>
    <row r="47" spans="2:11" x14ac:dyDescent="0.2">
      <c r="B47" s="26"/>
      <c r="C47" s="20"/>
      <c r="D47" s="12" t="s">
        <v>119</v>
      </c>
      <c r="E47" s="12"/>
      <c r="F47" s="12"/>
      <c r="G47" s="12"/>
      <c r="H47" s="12"/>
      <c r="I47" s="12"/>
      <c r="J47" s="12"/>
      <c r="K47" s="12"/>
    </row>
    <row r="48" spans="2:11" x14ac:dyDescent="0.2">
      <c r="B48" s="26"/>
      <c r="C48" s="12"/>
      <c r="D48" s="12"/>
      <c r="E48" s="12"/>
      <c r="F48" s="12"/>
      <c r="G48" s="12"/>
      <c r="H48" s="12"/>
      <c r="I48" s="12"/>
      <c r="J48" s="12"/>
      <c r="K48" s="12"/>
    </row>
    <row r="49" spans="2:11" x14ac:dyDescent="0.2">
      <c r="B49" s="26"/>
      <c r="C49" s="12" t="s">
        <v>117</v>
      </c>
      <c r="D49" s="23"/>
      <c r="E49" s="23" t="str">
        <f>_xlfn.CONCAT(TEXT($D$24,"00,0")," - ",TEXT($D$20,"00,0")," - ",TEXT($K$23,"00,0")," + ",TEXT($K$21,"00,0"))</f>
        <v>320000000,0 - 290000000,0 - 23000000,0 + 2000000,0</v>
      </c>
      <c r="F49" s="23"/>
      <c r="G49" s="23"/>
      <c r="H49" s="12"/>
      <c r="I49" s="12"/>
      <c r="J49" s="12"/>
      <c r="K49" s="12"/>
    </row>
    <row r="50" spans="2:11" x14ac:dyDescent="0.2">
      <c r="B50" s="26"/>
      <c r="C50" s="12"/>
      <c r="D50" s="20" t="str">
        <f>_xlfn.CONCAT(TEXT($D$20,"00,0"), " + (",TEXT($K$23,"00,0"), " * ","(366 - ",TEXT($I$23,"00,0"),") / 366)"," - (",TEXT($K$21,"00,0"), " * ","(366 - ",TEXT($I$21,"0,0"),") / 366)"," - (",TEXT($K$22,"00,0"), " * ","(366 - ",TEXT($I$22,"00,0"),") / 366)"," - (",TEXT($K$24,"00,0"), " * ","(366 - ",TEXT($I$24,"00,0"),") / 366)")</f>
        <v>290000000,0 + (23000000,0 * (366 - 151,0) / 366) - (2000000,0 * (366 - 31,0) / 366) - (7000000,0 * (366 - 149,0) / 366) - (8000000,0 * (366 - 311,0) / 366)</v>
      </c>
      <c r="E50" s="12"/>
      <c r="F50" s="12"/>
      <c r="G50" s="12"/>
      <c r="H50" s="12"/>
      <c r="I50" s="12"/>
      <c r="J50" s="12"/>
      <c r="K50" s="12"/>
    </row>
    <row r="51" spans="2:11" x14ac:dyDescent="0.2">
      <c r="B51" s="26"/>
      <c r="C51" s="12"/>
      <c r="D51" s="12"/>
      <c r="E51" s="12"/>
      <c r="F51" s="12"/>
      <c r="G51" s="12"/>
      <c r="H51" s="12"/>
      <c r="I51" s="12"/>
      <c r="J51" s="12"/>
      <c r="K51" s="12"/>
    </row>
    <row r="52" spans="2:11" x14ac:dyDescent="0.2">
      <c r="B52" s="26"/>
      <c r="C52" s="12" t="s">
        <v>117</v>
      </c>
      <c r="D52" s="104">
        <f>$D$24-$D$20-$K$23+$K$21</f>
        <v>9000000</v>
      </c>
      <c r="E52" s="12"/>
      <c r="F52" s="12"/>
      <c r="G52" s="12"/>
      <c r="H52" s="12"/>
      <c r="I52" s="12"/>
      <c r="J52" s="12"/>
      <c r="K52" s="12"/>
    </row>
    <row r="53" spans="2:11" x14ac:dyDescent="0.2">
      <c r="B53" s="26"/>
      <c r="C53" s="12"/>
      <c r="D53" s="99">
        <f>$D$20 + ($K$23 * (366 - $I$23) / 366) - ($K$21 * (366 - $I$21) / 366) - ($K$22 * (366 - $I$22) / 366) - ($K$24 * ((366 - $I$24) / 366))</f>
        <v>296327868.85245901</v>
      </c>
      <c r="E53" s="12"/>
      <c r="F53" s="12"/>
      <c r="G53" s="12"/>
      <c r="H53" s="12"/>
      <c r="I53" s="12"/>
      <c r="J53" s="12"/>
      <c r="K53" s="12"/>
    </row>
    <row r="54" spans="2:11" x14ac:dyDescent="0.2">
      <c r="B54" s="26"/>
      <c r="C54" s="12"/>
      <c r="D54" s="12"/>
      <c r="E54" s="12"/>
      <c r="F54" s="12"/>
      <c r="G54" s="12"/>
      <c r="H54" s="12"/>
      <c r="I54" s="12"/>
      <c r="J54" s="12"/>
      <c r="K54" s="12"/>
    </row>
    <row r="55" spans="2:11" x14ac:dyDescent="0.2">
      <c r="B55" s="26"/>
      <c r="C55" s="12" t="s">
        <v>117</v>
      </c>
      <c r="D55" s="28">
        <f>D52/D53</f>
        <v>3.0371763664527551E-2</v>
      </c>
      <c r="E55" s="12"/>
      <c r="F55" s="12"/>
      <c r="G55" s="12"/>
      <c r="H55" s="12"/>
      <c r="I55" s="12"/>
      <c r="J55" s="12"/>
      <c r="K55" s="12"/>
    </row>
    <row r="56" spans="2:11" x14ac:dyDescent="0.2">
      <c r="B56" s="26"/>
      <c r="C56" s="12"/>
      <c r="D56" s="12"/>
      <c r="E56" s="12"/>
      <c r="F56" s="12"/>
      <c r="G56" s="12"/>
      <c r="H56" s="12"/>
      <c r="I56" s="12"/>
      <c r="J56" s="12"/>
      <c r="K56" s="12"/>
    </row>
    <row r="57" spans="2:11" x14ac:dyDescent="0.2">
      <c r="B57" s="10"/>
    </row>
    <row r="58" spans="2:11" x14ac:dyDescent="0.2">
      <c r="B58" s="10"/>
    </row>
    <row r="59" spans="2:11" x14ac:dyDescent="0.2">
      <c r="B59" s="10"/>
    </row>
    <row r="60" spans="2:11" x14ac:dyDescent="0.2">
      <c r="B60" s="21" t="s">
        <v>115</v>
      </c>
      <c r="C60" s="27" t="s">
        <v>130</v>
      </c>
      <c r="D60" s="12"/>
      <c r="E60" s="12"/>
      <c r="F60" s="12"/>
      <c r="G60" s="12"/>
      <c r="H60" s="12"/>
      <c r="I60" s="12"/>
      <c r="J60" s="12"/>
      <c r="K60" s="12"/>
    </row>
    <row r="61" spans="2:11" x14ac:dyDescent="0.2">
      <c r="B61" s="26"/>
      <c r="C61" s="12"/>
      <c r="D61" s="12"/>
      <c r="E61" s="12"/>
      <c r="F61" s="12"/>
      <c r="G61" s="12"/>
      <c r="H61" s="12"/>
      <c r="I61" s="12"/>
      <c r="J61" s="12"/>
      <c r="K61" s="12"/>
    </row>
    <row r="62" spans="2:11" x14ac:dyDescent="0.2">
      <c r="B62" s="26" t="s">
        <v>95</v>
      </c>
      <c r="C62" s="20" t="s">
        <v>117</v>
      </c>
      <c r="D62" s="34" t="s">
        <v>123</v>
      </c>
      <c r="E62" s="33"/>
      <c r="F62" s="12"/>
      <c r="G62" s="12"/>
      <c r="H62" s="12"/>
      <c r="I62" s="12"/>
      <c r="J62" s="12"/>
      <c r="K62" s="12"/>
    </row>
    <row r="63" spans="2:11" x14ac:dyDescent="0.2">
      <c r="B63" s="26"/>
      <c r="C63" s="20"/>
      <c r="D63" s="12" t="s">
        <v>119</v>
      </c>
      <c r="E63" s="12"/>
      <c r="F63" s="12"/>
      <c r="G63" s="12"/>
      <c r="H63" s="12"/>
      <c r="I63" s="12"/>
      <c r="J63" s="12"/>
      <c r="K63" s="12"/>
    </row>
    <row r="64" spans="2:11" x14ac:dyDescent="0.2">
      <c r="B64" s="26"/>
      <c r="C64" s="12"/>
      <c r="D64" s="12"/>
      <c r="E64" s="12"/>
      <c r="F64" s="12"/>
      <c r="G64" s="12"/>
      <c r="H64" s="12"/>
      <c r="I64" s="12"/>
      <c r="J64" s="12"/>
      <c r="K64" s="12"/>
    </row>
    <row r="65" spans="2:11" x14ac:dyDescent="0.2">
      <c r="B65" s="26"/>
      <c r="C65" s="12" t="s">
        <v>117</v>
      </c>
      <c r="D65" s="23"/>
      <c r="E65" s="23" t="str">
        <f>_xlfn.CONCAT(,TEXT($K$22,"00,0")," + ",TEXT($K$24,"00,0"))</f>
        <v>7000000,0 + 8000000,0</v>
      </c>
      <c r="F65" s="12"/>
      <c r="G65" s="23"/>
      <c r="H65" s="12"/>
      <c r="I65" s="12"/>
      <c r="J65" s="12"/>
      <c r="K65" s="12"/>
    </row>
    <row r="66" spans="2:11" x14ac:dyDescent="0.2">
      <c r="B66" s="26"/>
      <c r="C66" s="12"/>
      <c r="D66" s="20" t="str">
        <f>_xlfn.CONCAT(TEXT($D$20,"00,0"), " + (",TEXT($K$23,"00,0"), " * ","(366 - ",TEXT($I$23,"00,0"),") / 366)"," - (",TEXT($K$21,"00,0"), " * ","(366 - ",TEXT($I$21,"0,0"),") / 366)"," - (",TEXT($K$22,"00,0"), " * ","(366 - ",TEXT($I$22,"00,0"),") / 366)"," - (",TEXT($K$24,"00,0"), " * ","(366 - ",TEXT($I$24,"00,0"),") / 366)")</f>
        <v>290000000,0 + (23000000,0 * (366 - 151,0) / 366) - (2000000,0 * (366 - 31,0) / 366) - (7000000,0 * (366 - 149,0) / 366) - (8000000,0 * (366 - 311,0) / 366)</v>
      </c>
      <c r="E66" s="12"/>
      <c r="F66" s="12"/>
      <c r="G66" s="12"/>
      <c r="H66" s="12"/>
      <c r="I66" s="12"/>
      <c r="J66" s="12"/>
      <c r="K66" s="12"/>
    </row>
    <row r="67" spans="2:11" x14ac:dyDescent="0.2">
      <c r="B67" s="26"/>
      <c r="C67" s="12"/>
      <c r="D67" s="12"/>
      <c r="E67" s="12"/>
      <c r="F67" s="12"/>
      <c r="G67" s="12"/>
      <c r="H67" s="12"/>
      <c r="I67" s="12"/>
      <c r="J67" s="12"/>
      <c r="K67" s="12"/>
    </row>
    <row r="68" spans="2:11" x14ac:dyDescent="0.2">
      <c r="B68" s="26"/>
      <c r="C68" s="12" t="s">
        <v>117</v>
      </c>
      <c r="D68" s="104">
        <f>$K$22 + $K$24</f>
        <v>15000000</v>
      </c>
      <c r="E68" s="12"/>
      <c r="F68" s="12"/>
      <c r="G68" s="12"/>
      <c r="H68" s="12"/>
      <c r="I68" s="12"/>
      <c r="J68" s="12"/>
      <c r="K68" s="12"/>
    </row>
    <row r="69" spans="2:11" x14ac:dyDescent="0.2">
      <c r="B69" s="26"/>
      <c r="C69" s="12"/>
      <c r="D69" s="99">
        <f>$D$20 + ($K$23 * (366 - $I$23) / 366) - ($K$21 * (366 - $I$21) / 366) - ($K$22 * (366 - $I$22) / 366) - ($K$24 * ((366 - $I$24) / 366))</f>
        <v>296327868.85245901</v>
      </c>
      <c r="E69" s="12"/>
      <c r="F69" s="12"/>
      <c r="G69" s="12"/>
      <c r="H69" s="12"/>
      <c r="I69" s="12"/>
      <c r="J69" s="12"/>
      <c r="K69" s="12"/>
    </row>
    <row r="70" spans="2:11" x14ac:dyDescent="0.2">
      <c r="B70" s="26"/>
      <c r="C70" s="12"/>
      <c r="D70" s="12"/>
      <c r="E70" s="12"/>
      <c r="F70" s="12"/>
      <c r="G70" s="12"/>
      <c r="H70" s="12"/>
      <c r="I70" s="12"/>
      <c r="J70" s="12"/>
      <c r="K70" s="12"/>
    </row>
    <row r="71" spans="2:11" x14ac:dyDescent="0.2">
      <c r="B71" s="26"/>
      <c r="C71" s="12" t="s">
        <v>117</v>
      </c>
      <c r="D71" s="28">
        <f>D68/D69</f>
        <v>5.0619606107545921E-2</v>
      </c>
      <c r="E71" s="12"/>
      <c r="F71" s="12"/>
      <c r="G71" s="12"/>
      <c r="H71" s="12"/>
      <c r="I71" s="12"/>
      <c r="J71" s="12"/>
      <c r="K71" s="12"/>
    </row>
    <row r="72" spans="2:11" x14ac:dyDescent="0.2">
      <c r="B72" s="26"/>
      <c r="C72" s="12"/>
      <c r="D72" s="12"/>
      <c r="E72" s="12"/>
      <c r="F72" s="12"/>
      <c r="G72" s="12"/>
      <c r="H72" s="12"/>
      <c r="I72" s="12"/>
      <c r="J72" s="12"/>
      <c r="K72" s="12"/>
    </row>
  </sheetData>
  <mergeCells count="3">
    <mergeCell ref="F4:G6"/>
    <mergeCell ref="H1:L1"/>
    <mergeCell ref="Q20:R22"/>
  </mergeCells>
  <hyperlinks>
    <hyperlink ref="H1:L1" location="'Table of Contents'!A1" display="Back to Table of Contents" xr:uid="{91F7CCE3-D9A9-4395-8542-F523A95851E7}"/>
    <hyperlink ref="Q20:R22" r:id="rId1" location="inrev-guidelines" display="For more information about Performance Measurement visit the INREV Guidelines on Performance Measurement." xr:uid="{AC0AC7C2-52A2-4107-9DB1-BA4542E21DD7}"/>
  </hyperlink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F69CF-5C5D-42A2-9357-C8328B5E486F}">
  <sheetPr>
    <tabColor theme="4"/>
  </sheetPr>
  <dimension ref="A1:L55"/>
  <sheetViews>
    <sheetView showGridLines="0" zoomScaleNormal="100" zoomScalePageLayoutView="85" workbookViewId="0">
      <pane ySplit="6" topLeftCell="A7" activePane="bottomLeft" state="frozen"/>
      <selection activeCell="B16" sqref="B16"/>
      <selection pane="bottomLeft"/>
    </sheetView>
  </sheetViews>
  <sheetFormatPr defaultColWidth="8.7109375" defaultRowHeight="12.75" x14ac:dyDescent="0.2"/>
  <cols>
    <col min="1" max="1" width="7.28515625" style="7" customWidth="1"/>
    <col min="2" max="2" width="26.5703125" customWidth="1"/>
    <col min="3" max="3" width="12.85546875" customWidth="1"/>
    <col min="4" max="4" width="17.140625" customWidth="1"/>
    <col min="5" max="5" width="28.85546875" customWidth="1"/>
    <col min="6" max="6" width="39.42578125" customWidth="1"/>
    <col min="7" max="7" width="10.7109375" customWidth="1"/>
    <col min="8" max="8" width="21.7109375" bestFit="1" customWidth="1"/>
    <col min="9" max="12" width="10.42578125" customWidth="1"/>
  </cols>
  <sheetData>
    <row r="1" spans="1:12" s="1" customFormat="1" ht="34.9" customHeight="1" x14ac:dyDescent="0.2">
      <c r="A1" s="6"/>
      <c r="B1" s="2" t="str">
        <f ca="1">MID(CELL("filename",A1),FIND("]",CELL("filename",A1))+ 1,255)&amp;" - calculation example"</f>
        <v>Multi year index figures - calculation example</v>
      </c>
      <c r="H1" s="181" t="s">
        <v>68</v>
      </c>
      <c r="I1" s="181"/>
      <c r="J1" s="181"/>
      <c r="K1" s="181"/>
      <c r="L1" s="181"/>
    </row>
    <row r="3" spans="1:12" x14ac:dyDescent="0.2">
      <c r="A3"/>
    </row>
    <row r="4" spans="1:12" x14ac:dyDescent="0.2">
      <c r="A4"/>
      <c r="B4" s="12" t="s">
        <v>69</v>
      </c>
      <c r="C4" s="12" t="s">
        <v>70</v>
      </c>
    </row>
    <row r="5" spans="1:12" x14ac:dyDescent="0.2">
      <c r="A5"/>
      <c r="B5" s="12" t="s">
        <v>72</v>
      </c>
      <c r="C5" s="12" t="s">
        <v>73</v>
      </c>
    </row>
    <row r="6" spans="1:12" x14ac:dyDescent="0.2">
      <c r="A6"/>
      <c r="B6" s="12" t="s">
        <v>74</v>
      </c>
      <c r="C6" s="12" t="s">
        <v>75</v>
      </c>
    </row>
    <row r="7" spans="1:12" x14ac:dyDescent="0.2">
      <c r="A7"/>
    </row>
    <row r="8" spans="1:12" x14ac:dyDescent="0.2">
      <c r="A8"/>
    </row>
    <row r="9" spans="1:12" x14ac:dyDescent="0.2">
      <c r="A9"/>
    </row>
    <row r="10" spans="1:12" x14ac:dyDescent="0.2">
      <c r="A10"/>
      <c r="B10" s="54" t="s">
        <v>131</v>
      </c>
      <c r="H10" s="3" t="s">
        <v>78</v>
      </c>
    </row>
    <row r="11" spans="1:12" x14ac:dyDescent="0.2">
      <c r="A11"/>
      <c r="B11" s="4"/>
      <c r="C11" s="4">
        <v>2009</v>
      </c>
      <c r="D11" s="4">
        <v>2010</v>
      </c>
      <c r="E11" s="4">
        <v>2011</v>
      </c>
      <c r="F11" s="4">
        <v>2012</v>
      </c>
      <c r="G11" s="38"/>
      <c r="H11" s="4"/>
      <c r="I11" s="4">
        <v>2009</v>
      </c>
      <c r="J11" s="4">
        <v>2010</v>
      </c>
      <c r="K11" s="4">
        <v>2011</v>
      </c>
      <c r="L11" s="4">
        <v>2012</v>
      </c>
    </row>
    <row r="12" spans="1:12" s="29" customFormat="1" x14ac:dyDescent="0.2">
      <c r="B12" s="29" t="s">
        <v>89</v>
      </c>
      <c r="D12" s="39">
        <f>'Single year return 2010'!D39</f>
        <v>3.746327444414508E-2</v>
      </c>
      <c r="E12" s="39">
        <f>'Single year return 2011'!D39</f>
        <v>2.9341425671737781E-2</v>
      </c>
      <c r="F12" s="39">
        <f>'Single year return 2012'!D39</f>
        <v>8.0991369772073468E-2</v>
      </c>
      <c r="H12" s="29" t="s">
        <v>89</v>
      </c>
      <c r="I12" s="29">
        <f>C26</f>
        <v>100</v>
      </c>
      <c r="J12" s="53">
        <f t="shared" ref="J12:L12" si="0">D26</f>
        <v>103.7463274444145</v>
      </c>
      <c r="K12" s="53">
        <f t="shared" si="0"/>
        <v>106.79039259984056</v>
      </c>
      <c r="L12" s="53">
        <f t="shared" si="0"/>
        <v>115.43949277499914</v>
      </c>
    </row>
    <row r="13" spans="1:12" s="29" customFormat="1" x14ac:dyDescent="0.2">
      <c r="A13" s="36"/>
      <c r="B13" s="29" t="s">
        <v>91</v>
      </c>
      <c r="D13" s="39">
        <f>'Single year return 2010'!D55</f>
        <v>-1.873163722207254E-2</v>
      </c>
      <c r="E13" s="39">
        <f>'Single year return 2011'!D55</f>
        <v>-2.2006069253803336E-2</v>
      </c>
      <c r="F13" s="39">
        <f>'Single year return 2012'!D55</f>
        <v>3.0371763664527551E-2</v>
      </c>
      <c r="H13" s="29" t="s">
        <v>91</v>
      </c>
      <c r="I13" s="29">
        <f t="shared" ref="I13:L13" si="1">C39</f>
        <v>100</v>
      </c>
      <c r="J13" s="53">
        <f t="shared" si="1"/>
        <v>98.126836277792748</v>
      </c>
      <c r="K13" s="53">
        <f t="shared" si="1"/>
        <v>95.967450323007014</v>
      </c>
      <c r="L13" s="53">
        <f t="shared" si="1"/>
        <v>98.882151043704667</v>
      </c>
    </row>
    <row r="14" spans="1:12" s="29" customFormat="1" x14ac:dyDescent="0.2">
      <c r="A14" s="36"/>
      <c r="B14" s="29" t="s">
        <v>95</v>
      </c>
      <c r="D14" s="39">
        <f>'Single year return 2010'!D71</f>
        <v>5.6194911666217623E-2</v>
      </c>
      <c r="E14" s="39">
        <f>'Single year return 2011'!D71</f>
        <v>5.1347494925541116E-2</v>
      </c>
      <c r="F14" s="39">
        <f>'Single year return 2012'!D71</f>
        <v>5.0619606107545921E-2</v>
      </c>
      <c r="H14" s="29" t="s">
        <v>95</v>
      </c>
      <c r="I14" s="29">
        <f t="shared" ref="I14:L14" si="2">C52</f>
        <v>100</v>
      </c>
      <c r="J14" s="53">
        <f t="shared" si="2"/>
        <v>105.61949116662177</v>
      </c>
      <c r="K14" s="53">
        <f t="shared" si="2"/>
        <v>111.04278745333811</v>
      </c>
      <c r="L14" s="53">
        <f t="shared" si="2"/>
        <v>116.66372961531002</v>
      </c>
    </row>
    <row r="15" spans="1:12" x14ac:dyDescent="0.2">
      <c r="B15" s="10"/>
    </row>
    <row r="16" spans="1:12" x14ac:dyDescent="0.2">
      <c r="B16" s="10"/>
    </row>
    <row r="17" spans="1:9" x14ac:dyDescent="0.2">
      <c r="B17" s="10"/>
    </row>
    <row r="18" spans="1:9" x14ac:dyDescent="0.2">
      <c r="B18" s="21" t="s">
        <v>115</v>
      </c>
      <c r="C18" s="22" t="s">
        <v>132</v>
      </c>
      <c r="D18" s="20"/>
      <c r="E18" s="20"/>
      <c r="F18" s="20"/>
      <c r="G18" s="29"/>
      <c r="H18" s="29"/>
      <c r="I18" s="29"/>
    </row>
    <row r="19" spans="1:9" x14ac:dyDescent="0.2">
      <c r="B19" s="19"/>
      <c r="C19" s="20"/>
      <c r="D19" s="20"/>
      <c r="E19" s="20"/>
      <c r="F19" s="20"/>
      <c r="G19" s="29"/>
      <c r="H19" s="29"/>
      <c r="I19" s="29"/>
    </row>
    <row r="20" spans="1:9" x14ac:dyDescent="0.2">
      <c r="B20" s="46"/>
      <c r="C20" s="50">
        <v>2009</v>
      </c>
      <c r="D20" s="50">
        <v>2010</v>
      </c>
      <c r="E20" s="50">
        <v>2011</v>
      </c>
      <c r="F20" s="50">
        <v>2012</v>
      </c>
      <c r="G20" s="29"/>
      <c r="H20" s="29"/>
      <c r="I20" s="29"/>
    </row>
    <row r="21" spans="1:9" x14ac:dyDescent="0.2">
      <c r="B21" s="46"/>
      <c r="C21" s="51"/>
      <c r="D21" s="51"/>
      <c r="E21" s="51"/>
      <c r="F21" s="51"/>
      <c r="G21" s="29"/>
      <c r="H21" s="29"/>
      <c r="I21" s="29"/>
    </row>
    <row r="22" spans="1:9" x14ac:dyDescent="0.2">
      <c r="B22" s="12" t="s">
        <v>89</v>
      </c>
      <c r="C22" s="47">
        <v>100</v>
      </c>
      <c r="D22" s="49" t="str">
        <f>_xlfn.CONCAT("100", " * (1 + tr1)")</f>
        <v>100 * (1 + tr1)</v>
      </c>
      <c r="E22" s="49" t="str">
        <f>_xlfn.CONCAT("100", " * (1 + tr1) *(1 + tr2)")</f>
        <v>100 * (1 + tr1) *(1 + tr2)</v>
      </c>
      <c r="F22" s="49" t="str">
        <f>_xlfn.CONCAT("100", " * (1 + tr1) *(1 + tr2) * (1 + tr3)")</f>
        <v>100 * (1 + tr1) *(1 + tr2) * (1 + tr3)</v>
      </c>
      <c r="G22" s="29"/>
      <c r="H22" s="29"/>
      <c r="I22" s="29"/>
    </row>
    <row r="23" spans="1:9" x14ac:dyDescent="0.2">
      <c r="B23" s="12"/>
      <c r="C23" s="47"/>
      <c r="D23" s="49"/>
      <c r="E23" s="49"/>
      <c r="F23" s="49"/>
      <c r="G23" s="29"/>
      <c r="H23" s="29"/>
      <c r="I23" s="29"/>
    </row>
    <row r="24" spans="1:9" x14ac:dyDescent="0.2">
      <c r="B24" s="12"/>
      <c r="C24" s="52">
        <v>100</v>
      </c>
      <c r="D24" s="40" t="str">
        <f>_xlfn.CONCAT("100", " * (1 + ",ROUND($D$12,3), ")")</f>
        <v>100 * (1 + 0,037)</v>
      </c>
      <c r="E24" s="40" t="str">
        <f>_xlfn.CONCAT("100", " * (1 + ",ROUND($D$12,3), ")", " * (1 + ",ROUND($E$12,3), ")")</f>
        <v>100 * (1 + 0,037) * (1 + 0,029)</v>
      </c>
      <c r="F24" s="40" t="str">
        <f>_xlfn.CONCAT("100", " * (1 + ",ROUND($D$12,3), ")", " * (1 + ",ROUND($E$12,3), ")", " * (1 + ",ROUND($F$12,3), ")")</f>
        <v>100 * (1 + 0,037) * (1 + 0,029) * (1 + 0,081)</v>
      </c>
      <c r="G24" s="29"/>
      <c r="H24" s="29"/>
      <c r="I24" s="29"/>
    </row>
    <row r="25" spans="1:9" x14ac:dyDescent="0.2">
      <c r="B25" s="12"/>
      <c r="C25" s="52"/>
      <c r="D25" s="40"/>
      <c r="E25" s="40"/>
      <c r="F25" s="40"/>
      <c r="G25" s="29"/>
      <c r="H25" s="29"/>
      <c r="I25" s="29"/>
    </row>
    <row r="26" spans="1:9" x14ac:dyDescent="0.2">
      <c r="B26" s="12"/>
      <c r="C26" s="47">
        <v>100</v>
      </c>
      <c r="D26" s="41">
        <f>100 * (1 + $D$12)</f>
        <v>103.7463274444145</v>
      </c>
      <c r="E26" s="41">
        <f>100 * (1 + $D$12) * (1 + $E$12)</f>
        <v>106.79039259984056</v>
      </c>
      <c r="F26" s="41">
        <f>100 * (1 + $D$12) * (1 + $E$12) * (1 + $F$12)</f>
        <v>115.43949277499914</v>
      </c>
      <c r="G26" s="29"/>
      <c r="H26" s="29"/>
      <c r="I26" s="29"/>
    </row>
    <row r="27" spans="1:9" x14ac:dyDescent="0.2">
      <c r="B27" s="12"/>
      <c r="C27" s="47"/>
      <c r="D27" s="48"/>
      <c r="E27" s="48"/>
      <c r="F27" s="48"/>
      <c r="G27" s="29"/>
      <c r="H27" s="29"/>
      <c r="I27" s="29"/>
    </row>
    <row r="28" spans="1:9" x14ac:dyDescent="0.2">
      <c r="A28"/>
    </row>
    <row r="29" spans="1:9" x14ac:dyDescent="0.2">
      <c r="A29"/>
    </row>
    <row r="30" spans="1:9" x14ac:dyDescent="0.2">
      <c r="A30"/>
    </row>
    <row r="31" spans="1:9" x14ac:dyDescent="0.2">
      <c r="B31" s="21" t="s">
        <v>115</v>
      </c>
      <c r="C31" s="22" t="s">
        <v>132</v>
      </c>
      <c r="D31" s="20"/>
      <c r="E31" s="20"/>
      <c r="F31" s="20"/>
      <c r="G31" s="29"/>
      <c r="H31" s="29"/>
      <c r="I31" s="29"/>
    </row>
    <row r="32" spans="1:9" x14ac:dyDescent="0.2">
      <c r="B32" s="19"/>
      <c r="C32" s="20"/>
      <c r="D32" s="20"/>
      <c r="E32" s="20"/>
      <c r="F32" s="20"/>
      <c r="G32" s="29"/>
      <c r="H32" s="29"/>
      <c r="I32" s="29"/>
    </row>
    <row r="33" spans="1:9" x14ac:dyDescent="0.2">
      <c r="B33" s="46"/>
      <c r="C33" s="50">
        <v>2009</v>
      </c>
      <c r="D33" s="50">
        <v>2010</v>
      </c>
      <c r="E33" s="50">
        <v>2011</v>
      </c>
      <c r="F33" s="50">
        <v>2012</v>
      </c>
      <c r="G33" s="29"/>
      <c r="H33" s="29"/>
      <c r="I33" s="29"/>
    </row>
    <row r="34" spans="1:9" x14ac:dyDescent="0.2">
      <c r="B34" s="46"/>
      <c r="C34" s="51"/>
      <c r="D34" s="51"/>
      <c r="E34" s="51"/>
      <c r="F34" s="51"/>
      <c r="G34" s="29"/>
      <c r="H34" s="29"/>
      <c r="I34" s="29"/>
    </row>
    <row r="35" spans="1:9" x14ac:dyDescent="0.2">
      <c r="B35" s="12" t="s">
        <v>91</v>
      </c>
      <c r="C35" s="47">
        <v>100</v>
      </c>
      <c r="D35" s="49" t="str">
        <f>_xlfn.CONCAT("100", " * (1 + cg1)")</f>
        <v>100 * (1 + cg1)</v>
      </c>
      <c r="E35" s="49" t="str">
        <f>_xlfn.CONCAT("100", " * (1 + cg1) *(1 + cg2)")</f>
        <v>100 * (1 + cg1) *(1 + cg2)</v>
      </c>
      <c r="F35" s="49" t="str">
        <f>_xlfn.CONCAT("100", " * (1 + cg1) *(1 + cg2) * (1 + cg3)")</f>
        <v>100 * (1 + cg1) *(1 + cg2) * (1 + cg3)</v>
      </c>
      <c r="G35" s="29"/>
      <c r="H35" s="29"/>
      <c r="I35" s="29"/>
    </row>
    <row r="36" spans="1:9" x14ac:dyDescent="0.2">
      <c r="B36" s="12"/>
      <c r="C36" s="47"/>
      <c r="D36" s="49"/>
      <c r="E36" s="49"/>
      <c r="F36" s="49"/>
      <c r="G36" s="29"/>
      <c r="H36" s="29"/>
      <c r="I36" s="29"/>
    </row>
    <row r="37" spans="1:9" x14ac:dyDescent="0.2">
      <c r="B37" s="12"/>
      <c r="C37" s="52">
        <v>100</v>
      </c>
      <c r="D37" s="40" t="str">
        <f>_xlfn.CONCAT("100", " * (1 + ",ROUND($D$13,3), ")")</f>
        <v>100 * (1 + -0,019)</v>
      </c>
      <c r="E37" s="40" t="str">
        <f>_xlfn.CONCAT("100", " * (1 + ",ROUND($D$13,3), ")", " * (1 + ",ROUND($E$13,3), ")")</f>
        <v>100 * (1 + -0,019) * (1 + -0,022)</v>
      </c>
      <c r="F37" s="40" t="str">
        <f>_xlfn.CONCAT("100", " * (1 + ",ROUND($D$13,3), ")", " * (1 + ",ROUND($E$13,3), ")", " * (1 + ",ROUND($F$13,3), ")")</f>
        <v>100 * (1 + -0,019) * (1 + -0,022) * (1 + 0,03)</v>
      </c>
      <c r="G37" s="29"/>
      <c r="H37" s="29"/>
      <c r="I37" s="29"/>
    </row>
    <row r="38" spans="1:9" x14ac:dyDescent="0.2">
      <c r="B38" s="12"/>
      <c r="C38" s="52"/>
      <c r="D38" s="40"/>
      <c r="E38" s="40"/>
      <c r="F38" s="40"/>
      <c r="G38" s="29"/>
      <c r="H38" s="29"/>
      <c r="I38" s="29"/>
    </row>
    <row r="39" spans="1:9" x14ac:dyDescent="0.2">
      <c r="B39" s="12"/>
      <c r="C39" s="47">
        <v>100</v>
      </c>
      <c r="D39" s="41">
        <f>100 * (1 + $D$13)</f>
        <v>98.126836277792748</v>
      </c>
      <c r="E39" s="41">
        <f>100 * (1 + $D$13) * (1 + $E$13)</f>
        <v>95.967450323007014</v>
      </c>
      <c r="F39" s="41">
        <f>100 * (1 + $D$13) * (1 + $E$13) * (1 + $F$13)</f>
        <v>98.882151043704667</v>
      </c>
      <c r="G39" s="29"/>
      <c r="H39" s="29"/>
      <c r="I39" s="29"/>
    </row>
    <row r="40" spans="1:9" x14ac:dyDescent="0.2">
      <c r="B40" s="12"/>
      <c r="C40" s="47"/>
      <c r="D40" s="48"/>
      <c r="E40" s="48"/>
      <c r="F40" s="48"/>
      <c r="G40" s="29"/>
      <c r="H40" s="29"/>
      <c r="I40" s="29"/>
    </row>
    <row r="41" spans="1:9" x14ac:dyDescent="0.2">
      <c r="A41"/>
    </row>
    <row r="42" spans="1:9" x14ac:dyDescent="0.2">
      <c r="A42"/>
    </row>
    <row r="43" spans="1:9" x14ac:dyDescent="0.2">
      <c r="A43"/>
    </row>
    <row r="44" spans="1:9" x14ac:dyDescent="0.2">
      <c r="B44" s="21" t="s">
        <v>115</v>
      </c>
      <c r="C44" s="22" t="s">
        <v>133</v>
      </c>
      <c r="D44" s="20"/>
      <c r="E44" s="20"/>
      <c r="F44" s="20"/>
      <c r="G44" s="29"/>
      <c r="H44" s="29"/>
      <c r="I44" s="29"/>
    </row>
    <row r="45" spans="1:9" x14ac:dyDescent="0.2">
      <c r="B45" s="19"/>
      <c r="C45" s="20"/>
      <c r="D45" s="20"/>
      <c r="E45" s="20"/>
      <c r="F45" s="20"/>
      <c r="G45" s="29"/>
      <c r="H45" s="29"/>
      <c r="I45" s="29"/>
    </row>
    <row r="46" spans="1:9" x14ac:dyDescent="0.2">
      <c r="B46" s="46"/>
      <c r="C46" s="50">
        <v>2009</v>
      </c>
      <c r="D46" s="50">
        <v>2010</v>
      </c>
      <c r="E46" s="50">
        <v>2011</v>
      </c>
      <c r="F46" s="50">
        <v>2012</v>
      </c>
      <c r="G46" s="29"/>
      <c r="H46" s="29"/>
      <c r="I46" s="29"/>
    </row>
    <row r="47" spans="1:9" x14ac:dyDescent="0.2">
      <c r="B47" s="46"/>
      <c r="C47" s="51"/>
      <c r="D47" s="51"/>
      <c r="E47" s="51"/>
      <c r="F47" s="51"/>
      <c r="G47" s="29"/>
      <c r="H47" s="29"/>
      <c r="I47" s="29"/>
    </row>
    <row r="48" spans="1:9" x14ac:dyDescent="0.2">
      <c r="B48" s="12" t="s">
        <v>95</v>
      </c>
      <c r="C48" s="47">
        <v>100</v>
      </c>
      <c r="D48" s="49" t="str">
        <f>_xlfn.CONCAT("100", " * (1 + dir1)")</f>
        <v>100 * (1 + dir1)</v>
      </c>
      <c r="E48" s="49" t="str">
        <f>_xlfn.CONCAT("100", " * (1 + dir1) *(1 + dir2)")</f>
        <v>100 * (1 + dir1) *(1 + dir2)</v>
      </c>
      <c r="F48" s="49" t="str">
        <f>_xlfn.CONCAT("100", " * (1 + dir1) *(1 + dir2) * (1 + dir3)")</f>
        <v>100 * (1 + dir1) *(1 + dir2) * (1 + dir3)</v>
      </c>
      <c r="G48" s="29"/>
      <c r="H48" s="29"/>
      <c r="I48" s="29"/>
    </row>
    <row r="49" spans="1:9" x14ac:dyDescent="0.2">
      <c r="B49" s="12"/>
      <c r="C49" s="47"/>
      <c r="D49" s="49"/>
      <c r="E49" s="49"/>
      <c r="F49" s="49"/>
      <c r="G49" s="29"/>
      <c r="H49" s="29"/>
      <c r="I49" s="29"/>
    </row>
    <row r="50" spans="1:9" x14ac:dyDescent="0.2">
      <c r="B50" s="12"/>
      <c r="C50" s="52">
        <v>100</v>
      </c>
      <c r="D50" s="40" t="str">
        <f>_xlfn.CONCAT("100", " * (1 + ",ROUND($D$14,3), ")")</f>
        <v>100 * (1 + 0,056)</v>
      </c>
      <c r="E50" s="40" t="str">
        <f>_xlfn.CONCAT("100", " * (1 + ",ROUND($D$14,3), ")", " * (1 + ",ROUND($E$14,3), ")")</f>
        <v>100 * (1 + 0,056) * (1 + 0,051)</v>
      </c>
      <c r="F50" s="40" t="str">
        <f>_xlfn.CONCAT("100", " * (1 + ",ROUND($D$14,3), ")", " * (1 + ",ROUND($E$14,3), ")", " * (1 + ",ROUND($F$14,3), ")")</f>
        <v>100 * (1 + 0,056) * (1 + 0,051) * (1 + 0,051)</v>
      </c>
      <c r="G50" s="29"/>
      <c r="H50" s="29"/>
      <c r="I50" s="29"/>
    </row>
    <row r="51" spans="1:9" x14ac:dyDescent="0.2">
      <c r="B51" s="12"/>
      <c r="C51" s="52"/>
      <c r="D51" s="40"/>
      <c r="E51" s="40"/>
      <c r="F51" s="40"/>
      <c r="G51" s="29"/>
      <c r="H51" s="29"/>
      <c r="I51" s="29"/>
    </row>
    <row r="52" spans="1:9" x14ac:dyDescent="0.2">
      <c r="B52" s="12"/>
      <c r="C52" s="47">
        <v>100</v>
      </c>
      <c r="D52" s="41">
        <f>100 * (1 + $D$14)</f>
        <v>105.61949116662177</v>
      </c>
      <c r="E52" s="41">
        <f>100 * (1 + $D$14) * (1 + $E$14)</f>
        <v>111.04278745333811</v>
      </c>
      <c r="F52" s="41">
        <f>100 * (1 + $D$14) * (1 + $E$14) * (1 + $F$14)</f>
        <v>116.66372961531002</v>
      </c>
      <c r="G52" s="29"/>
      <c r="H52" s="29"/>
      <c r="I52" s="29"/>
    </row>
    <row r="53" spans="1:9" x14ac:dyDescent="0.2">
      <c r="B53" s="12"/>
      <c r="C53" s="47"/>
      <c r="D53" s="48"/>
      <c r="E53" s="48"/>
      <c r="F53" s="48"/>
      <c r="G53" s="29"/>
      <c r="H53" s="29"/>
      <c r="I53" s="29"/>
    </row>
    <row r="54" spans="1:9" x14ac:dyDescent="0.2">
      <c r="A54"/>
    </row>
    <row r="55" spans="1:9" x14ac:dyDescent="0.2">
      <c r="A55"/>
    </row>
  </sheetData>
  <mergeCells count="1">
    <mergeCell ref="H1:L1"/>
  </mergeCells>
  <hyperlinks>
    <hyperlink ref="H1:L1" location="'Table of Contents'!A1" display="Back to Table of Contents" xr:uid="{D369FE00-B167-4D11-9DA4-FA2F932D1536}"/>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99F09-D725-4D2A-B6CF-65576FC1AE62}">
  <sheetPr>
    <tabColor theme="4"/>
  </sheetPr>
  <dimension ref="A1:L73"/>
  <sheetViews>
    <sheetView showGridLines="0" zoomScaleNormal="100" zoomScalePageLayoutView="85" workbookViewId="0">
      <pane ySplit="6" topLeftCell="A7" activePane="bottomLeft" state="frozen"/>
      <selection activeCell="A10" sqref="A10:L75"/>
      <selection pane="bottomLeft" activeCell="D30" sqref="D30"/>
    </sheetView>
  </sheetViews>
  <sheetFormatPr defaultColWidth="8.7109375" defaultRowHeight="12.75" x14ac:dyDescent="0.2"/>
  <cols>
    <col min="1" max="1" width="7.28515625" style="7" customWidth="1"/>
    <col min="2" max="2" width="22.28515625" customWidth="1"/>
    <col min="3" max="3" width="17.7109375" customWidth="1"/>
    <col min="4" max="4" width="26.5703125" customWidth="1"/>
    <col min="5" max="5" width="17.7109375" customWidth="1"/>
    <col min="6" max="6" width="23.7109375" bestFit="1" customWidth="1"/>
    <col min="7" max="7" width="17.7109375" customWidth="1"/>
    <col min="8" max="8" width="9.85546875" customWidth="1"/>
    <col min="9" max="9" width="21.7109375" bestFit="1" customWidth="1"/>
    <col min="10" max="12" width="8.7109375" style="55" customWidth="1"/>
    <col min="13" max="14" width="21.28515625" customWidth="1"/>
  </cols>
  <sheetData>
    <row r="1" spans="1:12" s="1" customFormat="1" ht="34.9" customHeight="1" x14ac:dyDescent="0.2">
      <c r="A1" s="6"/>
      <c r="B1" s="2" t="str">
        <f ca="1">MID(CELL("filename",A1),FIND("]",CELL("filename",A1))+ 1,255)&amp;" - calculation example"</f>
        <v>Multi year two funds - calculation example</v>
      </c>
      <c r="H1" s="181" t="s">
        <v>68</v>
      </c>
      <c r="I1" s="181"/>
      <c r="J1" s="181"/>
      <c r="K1" s="181"/>
      <c r="L1" s="181"/>
    </row>
    <row r="3" spans="1:12" x14ac:dyDescent="0.2">
      <c r="A3"/>
    </row>
    <row r="4" spans="1:12" x14ac:dyDescent="0.2">
      <c r="A4"/>
      <c r="B4" s="12" t="s">
        <v>69</v>
      </c>
      <c r="C4" s="12" t="s">
        <v>70</v>
      </c>
      <c r="D4" s="12" t="s">
        <v>134</v>
      </c>
    </row>
    <row r="5" spans="1:12" x14ac:dyDescent="0.2">
      <c r="A5"/>
      <c r="B5" s="12" t="s">
        <v>72</v>
      </c>
      <c r="C5" s="12" t="s">
        <v>73</v>
      </c>
      <c r="D5" s="12" t="s">
        <v>73</v>
      </c>
    </row>
    <row r="6" spans="1:12" x14ac:dyDescent="0.2">
      <c r="A6"/>
      <c r="B6" s="12" t="s">
        <v>74</v>
      </c>
      <c r="C6" s="12" t="s">
        <v>75</v>
      </c>
      <c r="D6" s="12" t="s">
        <v>75</v>
      </c>
    </row>
    <row r="7" spans="1:12" x14ac:dyDescent="0.2">
      <c r="A7"/>
    </row>
    <row r="8" spans="1:12" x14ac:dyDescent="0.2">
      <c r="A8"/>
    </row>
    <row r="9" spans="1:12" x14ac:dyDescent="0.2">
      <c r="A9"/>
    </row>
    <row r="10" spans="1:12" x14ac:dyDescent="0.2">
      <c r="A10"/>
      <c r="B10" s="3" t="s">
        <v>135</v>
      </c>
      <c r="I10" s="3" t="s">
        <v>78</v>
      </c>
    </row>
    <row r="11" spans="1:12" ht="25.5" x14ac:dyDescent="0.2">
      <c r="A11"/>
      <c r="B11" s="4" t="s">
        <v>79</v>
      </c>
      <c r="C11" s="4" t="s">
        <v>80</v>
      </c>
      <c r="D11" s="37" t="s">
        <v>136</v>
      </c>
      <c r="E11" s="37" t="s">
        <v>137</v>
      </c>
      <c r="F11" s="37" t="s">
        <v>138</v>
      </c>
      <c r="G11" s="4" t="s">
        <v>139</v>
      </c>
      <c r="H11" s="38"/>
      <c r="I11" s="4"/>
      <c r="J11" s="4">
        <v>2010</v>
      </c>
      <c r="K11" s="4">
        <v>2011</v>
      </c>
      <c r="L11" s="4">
        <v>2012</v>
      </c>
    </row>
    <row r="12" spans="1:12" s="29" customFormat="1" x14ac:dyDescent="0.2">
      <c r="B12" s="29">
        <v>2010</v>
      </c>
      <c r="C12" s="29">
        <v>4</v>
      </c>
      <c r="D12" s="30">
        <f>'Single year return 2010'!D36</f>
        <v>8000000</v>
      </c>
      <c r="E12" s="30">
        <f>'Single year return 2010'!D52</f>
        <v>-4000000</v>
      </c>
      <c r="F12" s="30">
        <f>'Single year return 2010'!D68</f>
        <v>12000000</v>
      </c>
      <c r="G12" s="30">
        <f>'Single year return 2010'!D37</f>
        <v>213542465.75342464</v>
      </c>
      <c r="I12" s="29" t="s">
        <v>89</v>
      </c>
      <c r="J12" s="60">
        <f>H29</f>
        <v>4.3704813929386896E-2</v>
      </c>
      <c r="K12" s="60">
        <f>H32</f>
        <v>3.723043715739114E-2</v>
      </c>
      <c r="L12" s="60">
        <f>H35</f>
        <v>8.7164924212277978E-2</v>
      </c>
    </row>
    <row r="13" spans="1:12" s="29" customFormat="1" x14ac:dyDescent="0.2">
      <c r="A13" s="36"/>
      <c r="B13" s="29">
        <v>2011</v>
      </c>
      <c r="C13" s="29">
        <v>4</v>
      </c>
      <c r="D13" s="30">
        <f>'Single year return 2011'!D36</f>
        <v>8000000</v>
      </c>
      <c r="E13" s="30">
        <f>'Single year return 2011'!D52</f>
        <v>-6000000</v>
      </c>
      <c r="F13" s="30">
        <f>'Single year return 2011'!D68</f>
        <v>14000000</v>
      </c>
      <c r="G13" s="30">
        <f>'Single year return 2011'!D37</f>
        <v>272652054.7945205</v>
      </c>
      <c r="I13" s="29" t="s">
        <v>91</v>
      </c>
      <c r="J13" s="60">
        <f>H46</f>
        <v>-1.3563562943602829E-2</v>
      </c>
      <c r="K13" s="60">
        <f>H49</f>
        <v>-1.6813745813015354E-2</v>
      </c>
      <c r="L13" s="60">
        <f>H52</f>
        <v>3.1997250660203307E-2</v>
      </c>
    </row>
    <row r="14" spans="1:12" s="29" customFormat="1" x14ac:dyDescent="0.2">
      <c r="A14" s="36"/>
      <c r="B14" s="29">
        <v>2012</v>
      </c>
      <c r="C14" s="29">
        <v>4</v>
      </c>
      <c r="D14" s="30">
        <f>'Single year return 2012'!D36</f>
        <v>24000000</v>
      </c>
      <c r="E14" s="30">
        <f>'Single year return 2012'!D52</f>
        <v>9000000</v>
      </c>
      <c r="F14" s="30">
        <f>'Single year return 2012'!D68</f>
        <v>15000000</v>
      </c>
      <c r="G14" s="30">
        <f>'Single year return 2012'!D37</f>
        <v>296327868.85245901</v>
      </c>
      <c r="I14" s="29" t="s">
        <v>95</v>
      </c>
      <c r="J14" s="60">
        <f>H63</f>
        <v>5.7268376872989725E-2</v>
      </c>
      <c r="K14" s="60">
        <f>H66</f>
        <v>5.4044182970406494E-2</v>
      </c>
      <c r="L14" s="60">
        <f>H69</f>
        <v>5.5167673552074671E-2</v>
      </c>
    </row>
    <row r="15" spans="1:12" x14ac:dyDescent="0.2">
      <c r="B15" s="10"/>
    </row>
    <row r="16" spans="1:12" x14ac:dyDescent="0.2">
      <c r="A16"/>
      <c r="B16" s="3" t="s">
        <v>140</v>
      </c>
    </row>
    <row r="17" spans="1:12" ht="25.5" x14ac:dyDescent="0.2">
      <c r="A17"/>
      <c r="B17" s="4" t="s">
        <v>79</v>
      </c>
      <c r="C17" s="4" t="s">
        <v>80</v>
      </c>
      <c r="D17" s="37" t="s">
        <v>136</v>
      </c>
      <c r="E17" s="37" t="s">
        <v>137</v>
      </c>
      <c r="F17" s="37" t="s">
        <v>138</v>
      </c>
      <c r="G17" s="4" t="s">
        <v>139</v>
      </c>
      <c r="H17" s="38"/>
      <c r="J17"/>
      <c r="K17"/>
      <c r="L17"/>
    </row>
    <row r="18" spans="1:12" s="29" customFormat="1" x14ac:dyDescent="0.2">
      <c r="B18" s="29">
        <v>2010</v>
      </c>
      <c r="C18" s="29">
        <v>4</v>
      </c>
      <c r="D18" s="30">
        <v>21000000</v>
      </c>
      <c r="E18" s="30">
        <v>-5000000</v>
      </c>
      <c r="F18" s="30">
        <v>26000000</v>
      </c>
      <c r="G18" s="30">
        <v>450000000</v>
      </c>
      <c r="I18"/>
      <c r="J18"/>
      <c r="K18"/>
      <c r="L18"/>
    </row>
    <row r="19" spans="1:12" s="29" customFormat="1" x14ac:dyDescent="0.2">
      <c r="A19" s="36"/>
      <c r="B19" s="29">
        <v>2011</v>
      </c>
      <c r="C19" s="29">
        <v>4</v>
      </c>
      <c r="D19" s="30">
        <v>23000000</v>
      </c>
      <c r="E19" s="30">
        <v>-8000000</v>
      </c>
      <c r="F19" s="30">
        <v>31000000</v>
      </c>
      <c r="G19" s="30">
        <v>560000000</v>
      </c>
      <c r="I19"/>
      <c r="J19"/>
      <c r="K19"/>
      <c r="L19"/>
    </row>
    <row r="20" spans="1:12" s="29" customFormat="1" x14ac:dyDescent="0.2">
      <c r="A20" s="36"/>
      <c r="B20" s="29">
        <v>2012</v>
      </c>
      <c r="C20" s="29">
        <v>4</v>
      </c>
      <c r="D20" s="30">
        <v>55000000</v>
      </c>
      <c r="E20" s="30">
        <v>20000000</v>
      </c>
      <c r="F20" s="30">
        <v>35000000</v>
      </c>
      <c r="G20" s="30">
        <v>610000000</v>
      </c>
      <c r="I20"/>
      <c r="J20"/>
      <c r="K20"/>
      <c r="L20"/>
    </row>
    <row r="21" spans="1:12" s="29" customFormat="1" x14ac:dyDescent="0.2">
      <c r="A21" s="36"/>
      <c r="D21" s="30"/>
      <c r="J21" s="59"/>
      <c r="K21" s="59"/>
      <c r="L21" s="59"/>
    </row>
    <row r="22" spans="1:12" s="29" customFormat="1" x14ac:dyDescent="0.2">
      <c r="A22" s="36"/>
      <c r="D22" s="30"/>
      <c r="J22" s="59"/>
      <c r="K22" s="59"/>
      <c r="L22" s="59"/>
    </row>
    <row r="23" spans="1:12" s="29" customFormat="1" x14ac:dyDescent="0.2">
      <c r="A23" s="36"/>
      <c r="D23" s="30"/>
      <c r="J23" s="59"/>
      <c r="K23" s="59"/>
      <c r="L23" s="59"/>
    </row>
    <row r="24" spans="1:12" x14ac:dyDescent="0.2">
      <c r="B24" s="21" t="s">
        <v>115</v>
      </c>
      <c r="C24" s="22" t="s">
        <v>141</v>
      </c>
      <c r="D24" s="20"/>
      <c r="E24" s="20"/>
      <c r="F24" s="20"/>
      <c r="G24" s="20"/>
      <c r="H24" s="20"/>
      <c r="I24" s="29"/>
    </row>
    <row r="25" spans="1:12" x14ac:dyDescent="0.2">
      <c r="B25" s="19"/>
      <c r="C25" s="20"/>
      <c r="D25" s="20"/>
      <c r="E25" s="20"/>
      <c r="F25" s="20"/>
      <c r="G25" s="20"/>
      <c r="H25" s="20"/>
      <c r="I25" s="29"/>
    </row>
    <row r="26" spans="1:12" x14ac:dyDescent="0.2">
      <c r="B26" s="19" t="s">
        <v>89</v>
      </c>
      <c r="C26" s="20" t="s">
        <v>117</v>
      </c>
      <c r="D26" s="33" t="s">
        <v>142</v>
      </c>
      <c r="E26" s="33"/>
      <c r="F26" s="33"/>
      <c r="G26" s="20"/>
      <c r="H26" s="20"/>
      <c r="I26" s="29"/>
    </row>
    <row r="27" spans="1:12" x14ac:dyDescent="0.2">
      <c r="B27" s="19"/>
      <c r="C27" s="20"/>
      <c r="D27" s="12" t="s">
        <v>143</v>
      </c>
      <c r="E27" s="12"/>
      <c r="F27" s="12"/>
      <c r="G27" s="20"/>
      <c r="H27" s="25"/>
      <c r="I27" s="29"/>
    </row>
    <row r="28" spans="1:12" x14ac:dyDescent="0.2">
      <c r="B28" s="19"/>
      <c r="C28" s="20"/>
      <c r="D28" s="20"/>
      <c r="E28" s="20"/>
      <c r="F28" s="20"/>
      <c r="G28" s="20"/>
      <c r="H28" s="25"/>
      <c r="I28" s="29"/>
    </row>
    <row r="29" spans="1:12" x14ac:dyDescent="0.2">
      <c r="B29" s="19" t="s">
        <v>144</v>
      </c>
      <c r="C29" s="20" t="s">
        <v>117</v>
      </c>
      <c r="D29" s="104" t="str">
        <f>_xlfn.CONCAT(TEXT($D$12,"00,0"), " + ", TEXT($D$18,"00,0"))</f>
        <v>8000000,0 + 21000000,0</v>
      </c>
      <c r="E29" s="107" t="s">
        <v>117</v>
      </c>
      <c r="F29" s="106">
        <f>$D$12 + $D$18</f>
        <v>29000000</v>
      </c>
      <c r="G29" s="45" t="s">
        <v>117</v>
      </c>
      <c r="H29" s="44">
        <f>($D$12 + $D$18) / ($G$12 + $G$18)</f>
        <v>4.3704813929386896E-2</v>
      </c>
      <c r="I29" s="29"/>
    </row>
    <row r="30" spans="1:12" x14ac:dyDescent="0.2">
      <c r="B30" s="19"/>
      <c r="C30" s="20"/>
      <c r="D30" s="99" t="str">
        <f>_xlfn.CONCAT(TEXT(ROUND($G$12,1),"00,0")," + ", TEXT($G$18,"00,0"))</f>
        <v>213542465,8 + 450000000,0</v>
      </c>
      <c r="E30" s="99"/>
      <c r="F30" s="105">
        <f>$G$12 + $G$18</f>
        <v>663542465.75342464</v>
      </c>
      <c r="G30" s="42"/>
      <c r="H30" s="28"/>
      <c r="I30" s="29"/>
    </row>
    <row r="31" spans="1:12" x14ac:dyDescent="0.2">
      <c r="B31" s="19"/>
      <c r="C31" s="20"/>
      <c r="D31" s="99"/>
      <c r="E31" s="99"/>
      <c r="F31" s="103"/>
      <c r="G31" s="42"/>
      <c r="H31" s="28"/>
      <c r="I31" s="29"/>
    </row>
    <row r="32" spans="1:12" x14ac:dyDescent="0.2">
      <c r="B32" s="19" t="s">
        <v>145</v>
      </c>
      <c r="C32" s="20" t="s">
        <v>117</v>
      </c>
      <c r="D32" s="104" t="str">
        <f>_xlfn.CONCAT(TEXT($D$13,"00,0"), " + ", TEXT($D$19,"00,0"))</f>
        <v>8000000,0 + 23000000,0</v>
      </c>
      <c r="E32" s="107" t="s">
        <v>117</v>
      </c>
      <c r="F32" s="106">
        <f>$D$13 + $D$19</f>
        <v>31000000</v>
      </c>
      <c r="G32" s="45" t="s">
        <v>117</v>
      </c>
      <c r="H32" s="44">
        <f>($D$13 + $D$19) / ($G$13 + $G$19)</f>
        <v>3.723043715739114E-2</v>
      </c>
      <c r="I32" s="29"/>
    </row>
    <row r="33" spans="2:9" x14ac:dyDescent="0.2">
      <c r="B33" s="19"/>
      <c r="C33" s="20"/>
      <c r="D33" s="99" t="str">
        <f>_xlfn.CONCAT(TEXT(ROUND($G$13,1),"00,0")," + ", TEXT($G$19,"00,0"))</f>
        <v>272652054,8 + 560000000,0</v>
      </c>
      <c r="E33" s="99"/>
      <c r="F33" s="105">
        <f>$G$13 + $G$19</f>
        <v>832652054.7945205</v>
      </c>
      <c r="G33" s="42"/>
      <c r="H33" s="28"/>
      <c r="I33" s="29"/>
    </row>
    <row r="34" spans="2:9" x14ac:dyDescent="0.2">
      <c r="B34" s="19"/>
      <c r="C34" s="20"/>
      <c r="D34" s="99"/>
      <c r="E34" s="99"/>
      <c r="F34" s="103"/>
      <c r="G34" s="42"/>
      <c r="H34" s="28"/>
      <c r="I34" s="29"/>
    </row>
    <row r="35" spans="2:9" x14ac:dyDescent="0.2">
      <c r="B35" s="19" t="s">
        <v>146</v>
      </c>
      <c r="C35" s="20" t="s">
        <v>117</v>
      </c>
      <c r="D35" s="104" t="str">
        <f>_xlfn.CONCAT(TEXT($D$14,"00,0"), " + ", TEXT($D$20,"00,0"))</f>
        <v>24000000,0 + 55000000,0</v>
      </c>
      <c r="E35" s="107" t="s">
        <v>117</v>
      </c>
      <c r="F35" s="106">
        <f>$D$14 + $D$20</f>
        <v>79000000</v>
      </c>
      <c r="G35" s="45" t="s">
        <v>117</v>
      </c>
      <c r="H35" s="44">
        <f>($D$14 + $D$20) / ($G$14 + $G$20)</f>
        <v>8.7164924212277978E-2</v>
      </c>
      <c r="I35" s="29"/>
    </row>
    <row r="36" spans="2:9" x14ac:dyDescent="0.2">
      <c r="B36" s="19"/>
      <c r="C36" s="20"/>
      <c r="D36" s="99" t="str">
        <f>_xlfn.CONCAT(TEXT(ROUND($G$14,1),"00,0")," + ", TEXT($G$20,"00,0"))</f>
        <v>296327868,9 + 610000000,0</v>
      </c>
      <c r="E36" s="99"/>
      <c r="F36" s="105">
        <f>$G$14 + $G$20</f>
        <v>906327868.85245895</v>
      </c>
      <c r="G36" s="40"/>
      <c r="H36" s="28"/>
      <c r="I36" s="29"/>
    </row>
    <row r="37" spans="2:9" x14ac:dyDescent="0.2">
      <c r="B37" s="26"/>
      <c r="C37" s="20"/>
      <c r="D37" s="20"/>
      <c r="E37" s="20"/>
      <c r="F37" s="103"/>
      <c r="G37" s="40"/>
      <c r="H37" s="25"/>
      <c r="I37" s="58"/>
    </row>
    <row r="38" spans="2:9" x14ac:dyDescent="0.2">
      <c r="B38" s="10"/>
      <c r="F38" s="100"/>
      <c r="H38" s="78"/>
      <c r="I38" s="29"/>
    </row>
    <row r="39" spans="2:9" x14ac:dyDescent="0.2">
      <c r="B39" s="10"/>
      <c r="F39" s="100"/>
      <c r="H39" s="78"/>
      <c r="I39" s="29"/>
    </row>
    <row r="40" spans="2:9" x14ac:dyDescent="0.2">
      <c r="B40" s="10"/>
      <c r="F40" s="100"/>
      <c r="H40" s="78"/>
      <c r="I40" s="29"/>
    </row>
    <row r="41" spans="2:9" x14ac:dyDescent="0.2">
      <c r="B41" s="21" t="s">
        <v>115</v>
      </c>
      <c r="C41" s="22" t="s">
        <v>147</v>
      </c>
      <c r="D41" s="20"/>
      <c r="E41" s="20"/>
      <c r="F41" s="103"/>
      <c r="G41" s="20"/>
      <c r="H41" s="25"/>
      <c r="I41" s="29"/>
    </row>
    <row r="42" spans="2:9" x14ac:dyDescent="0.2">
      <c r="B42" s="19"/>
      <c r="C42" s="20"/>
      <c r="D42" s="20"/>
      <c r="E42" s="20"/>
      <c r="F42" s="103"/>
      <c r="G42" s="20"/>
      <c r="H42" s="25"/>
      <c r="I42" s="29"/>
    </row>
    <row r="43" spans="2:9" x14ac:dyDescent="0.2">
      <c r="B43" s="19" t="s">
        <v>91</v>
      </c>
      <c r="C43" s="20" t="s">
        <v>117</v>
      </c>
      <c r="D43" s="33" t="s">
        <v>148</v>
      </c>
      <c r="E43" s="33"/>
      <c r="F43" s="109"/>
      <c r="G43" s="20"/>
      <c r="H43" s="25"/>
      <c r="I43" s="29"/>
    </row>
    <row r="44" spans="2:9" x14ac:dyDescent="0.2">
      <c r="B44" s="19"/>
      <c r="C44" s="20"/>
      <c r="D44" s="12" t="s">
        <v>149</v>
      </c>
      <c r="E44" s="12"/>
      <c r="F44" s="101"/>
      <c r="G44" s="20"/>
      <c r="H44" s="25"/>
      <c r="I44" s="29"/>
    </row>
    <row r="45" spans="2:9" x14ac:dyDescent="0.2">
      <c r="B45" s="19"/>
      <c r="C45" s="20"/>
      <c r="D45" s="20"/>
      <c r="E45" s="20"/>
      <c r="F45" s="103"/>
      <c r="G45" s="20"/>
      <c r="H45" s="25"/>
      <c r="I45" s="29"/>
    </row>
    <row r="46" spans="2:9" x14ac:dyDescent="0.2">
      <c r="B46" s="19" t="s">
        <v>150</v>
      </c>
      <c r="C46" s="20" t="s">
        <v>117</v>
      </c>
      <c r="D46" s="23" t="str">
        <f>_xlfn.CONCAT(TEXT($E$12,"00,0"), " + ", TEXT($E$18,"00,0"))</f>
        <v>-4000000,0 + -5000000,0</v>
      </c>
      <c r="E46" s="42" t="s">
        <v>117</v>
      </c>
      <c r="F46" s="106">
        <f>$E$12 + $E$18</f>
        <v>-9000000</v>
      </c>
      <c r="G46" s="45" t="s">
        <v>117</v>
      </c>
      <c r="H46" s="44">
        <f>($E$12 + $E$18) / ($G$12 + $G$18)</f>
        <v>-1.3563562943602829E-2</v>
      </c>
      <c r="I46" s="29"/>
    </row>
    <row r="47" spans="2:9" x14ac:dyDescent="0.2">
      <c r="B47" s="19"/>
      <c r="C47" s="20"/>
      <c r="D47" s="40" t="str">
        <f>_xlfn.CONCAT(TEXT(ROUND($G$12,1),"00,0")," + ", TEXT($G$18,"00,0"))</f>
        <v>213542465,8 + 450000000,0</v>
      </c>
      <c r="E47" s="40"/>
      <c r="F47" s="105">
        <f>$G$12 + $G$18</f>
        <v>663542465.75342464</v>
      </c>
      <c r="G47" s="42"/>
      <c r="H47" s="28"/>
      <c r="I47" s="29"/>
    </row>
    <row r="48" spans="2:9" x14ac:dyDescent="0.2">
      <c r="B48" s="19"/>
      <c r="C48" s="20"/>
      <c r="D48" s="20"/>
      <c r="E48" s="40"/>
      <c r="F48" s="103"/>
      <c r="G48" s="42"/>
      <c r="H48" s="28"/>
      <c r="I48" s="29"/>
    </row>
    <row r="49" spans="2:9" x14ac:dyDescent="0.2">
      <c r="B49" s="19" t="s">
        <v>151</v>
      </c>
      <c r="C49" s="20" t="s">
        <v>117</v>
      </c>
      <c r="D49" s="23" t="str">
        <f>_xlfn.CONCAT(TEXT($E$13,"00,0"), " + ", TEXT($E$19,"00,0"))</f>
        <v>-6000000,0 + -8000000,0</v>
      </c>
      <c r="E49" s="42" t="s">
        <v>117</v>
      </c>
      <c r="F49" s="106">
        <f>$E$13 + $E$19</f>
        <v>-14000000</v>
      </c>
      <c r="G49" s="45" t="s">
        <v>117</v>
      </c>
      <c r="H49" s="44">
        <f>($E$13 + $E$19) / ($G$13 + $G$19)</f>
        <v>-1.6813745813015354E-2</v>
      </c>
      <c r="I49" s="29"/>
    </row>
    <row r="50" spans="2:9" x14ac:dyDescent="0.2">
      <c r="B50" s="19"/>
      <c r="C50" s="20"/>
      <c r="D50" s="40" t="str">
        <f>_xlfn.CONCAT(TEXT(ROUND($G$13,1),"00,0")," + ", TEXT($G$19,"00,0"))</f>
        <v>272652054,8 + 560000000,0</v>
      </c>
      <c r="E50" s="40"/>
      <c r="F50" s="105">
        <f>$G$13 + $G$19</f>
        <v>832652054.7945205</v>
      </c>
      <c r="G50" s="42"/>
      <c r="H50" s="28"/>
      <c r="I50" s="29"/>
    </row>
    <row r="51" spans="2:9" x14ac:dyDescent="0.2">
      <c r="B51" s="19"/>
      <c r="C51" s="20"/>
      <c r="D51" s="20"/>
      <c r="E51" s="40"/>
      <c r="F51" s="103"/>
      <c r="G51" s="42"/>
      <c r="H51" s="28"/>
      <c r="I51" s="29"/>
    </row>
    <row r="52" spans="2:9" x14ac:dyDescent="0.2">
      <c r="B52" s="19" t="s">
        <v>152</v>
      </c>
      <c r="C52" s="20" t="s">
        <v>117</v>
      </c>
      <c r="D52" s="23" t="str">
        <f>_xlfn.CONCAT(TEXT($E$14,"00,0"), " + ", TEXT($E$20,"00,0"))</f>
        <v>9000000,0 + 20000000,0</v>
      </c>
      <c r="E52" s="42" t="s">
        <v>117</v>
      </c>
      <c r="F52" s="106">
        <f>$E$14 + $E$20</f>
        <v>29000000</v>
      </c>
      <c r="G52" s="45" t="s">
        <v>117</v>
      </c>
      <c r="H52" s="44">
        <f>($E$14 + $E$20) / ($G$14 + $G$20)</f>
        <v>3.1997250660203307E-2</v>
      </c>
      <c r="I52" s="29"/>
    </row>
    <row r="53" spans="2:9" x14ac:dyDescent="0.2">
      <c r="B53" s="19"/>
      <c r="C53" s="20"/>
      <c r="D53" s="40" t="str">
        <f>_xlfn.CONCAT(TEXT(ROUND($G$14,1),"00,0")," + ", TEXT($G$20,"00,0"))</f>
        <v>296327868,9 + 610000000,0</v>
      </c>
      <c r="E53" s="40"/>
      <c r="F53" s="105">
        <f>$G$14 + $G$20</f>
        <v>906327868.85245895</v>
      </c>
      <c r="G53" s="40"/>
      <c r="H53" s="28"/>
      <c r="I53" s="29"/>
    </row>
    <row r="54" spans="2:9" x14ac:dyDescent="0.2">
      <c r="B54" s="26"/>
      <c r="C54" s="20"/>
      <c r="D54" s="20"/>
      <c r="E54" s="20"/>
      <c r="F54" s="103"/>
      <c r="G54" s="40"/>
      <c r="H54" s="25"/>
      <c r="I54" s="58"/>
    </row>
    <row r="55" spans="2:9" x14ac:dyDescent="0.2">
      <c r="B55" s="10"/>
      <c r="F55" s="100"/>
      <c r="H55" s="78"/>
      <c r="I55" s="29"/>
    </row>
    <row r="56" spans="2:9" x14ac:dyDescent="0.2">
      <c r="B56" s="10"/>
      <c r="F56" s="100"/>
      <c r="H56" s="78"/>
      <c r="I56" s="29"/>
    </row>
    <row r="57" spans="2:9" x14ac:dyDescent="0.2">
      <c r="B57" s="10"/>
      <c r="F57" s="100"/>
      <c r="H57" s="78"/>
      <c r="I57" s="29"/>
    </row>
    <row r="58" spans="2:9" x14ac:dyDescent="0.2">
      <c r="B58" s="21" t="s">
        <v>115</v>
      </c>
      <c r="C58" s="22" t="s">
        <v>153</v>
      </c>
      <c r="D58" s="20"/>
      <c r="E58" s="20"/>
      <c r="F58" s="103"/>
      <c r="G58" s="20"/>
      <c r="H58" s="25"/>
      <c r="I58" s="29"/>
    </row>
    <row r="59" spans="2:9" x14ac:dyDescent="0.2">
      <c r="B59" s="19"/>
      <c r="C59" s="20"/>
      <c r="D59" s="20"/>
      <c r="E59" s="20"/>
      <c r="F59" s="103"/>
      <c r="G59" s="20"/>
      <c r="H59" s="25"/>
      <c r="I59" s="29"/>
    </row>
    <row r="60" spans="2:9" x14ac:dyDescent="0.2">
      <c r="B60" s="19" t="s">
        <v>95</v>
      </c>
      <c r="C60" s="20" t="s">
        <v>117</v>
      </c>
      <c r="D60" s="33" t="s">
        <v>154</v>
      </c>
      <c r="E60" s="33"/>
      <c r="F60" s="109"/>
      <c r="G60" s="20"/>
      <c r="H60" s="25"/>
      <c r="I60" s="29"/>
    </row>
    <row r="61" spans="2:9" x14ac:dyDescent="0.2">
      <c r="B61" s="19"/>
      <c r="C61" s="20"/>
      <c r="D61" s="12" t="s">
        <v>155</v>
      </c>
      <c r="E61" s="12"/>
      <c r="F61" s="101"/>
      <c r="G61" s="20"/>
      <c r="H61" s="25"/>
      <c r="I61" s="29"/>
    </row>
    <row r="62" spans="2:9" x14ac:dyDescent="0.2">
      <c r="B62" s="19"/>
      <c r="C62" s="20"/>
      <c r="D62" s="20"/>
      <c r="E62" s="20"/>
      <c r="F62" s="103"/>
      <c r="G62" s="20"/>
      <c r="H62" s="25"/>
      <c r="I62" s="29"/>
    </row>
    <row r="63" spans="2:9" x14ac:dyDescent="0.2">
      <c r="B63" s="19" t="s">
        <v>156</v>
      </c>
      <c r="C63" s="20" t="s">
        <v>117</v>
      </c>
      <c r="D63" s="23" t="str">
        <f>_xlfn.CONCAT(TEXT($F$12,"00,0"), " + ", TEXT($F$18,"00,0"))</f>
        <v>12000000,0 + 26000000,0</v>
      </c>
      <c r="E63" s="42" t="s">
        <v>117</v>
      </c>
      <c r="F63" s="106">
        <f>$F$12 + $F$18</f>
        <v>38000000</v>
      </c>
      <c r="G63" s="45" t="s">
        <v>117</v>
      </c>
      <c r="H63" s="44">
        <f>($F$12 + $F$18) / ($G$12 + $G$18)</f>
        <v>5.7268376872989725E-2</v>
      </c>
      <c r="I63" s="29"/>
    </row>
    <row r="64" spans="2:9" x14ac:dyDescent="0.2">
      <c r="B64" s="19"/>
      <c r="C64" s="20"/>
      <c r="D64" s="40" t="str">
        <f>_xlfn.CONCAT(TEXT(ROUND($G$12,1),"00,0")," + ", TEXT($G$18,"00,0"))</f>
        <v>213542465,8 + 450000000,0</v>
      </c>
      <c r="E64" s="40"/>
      <c r="F64" s="105">
        <f>$G$12 + $G$18</f>
        <v>663542465.75342464</v>
      </c>
      <c r="G64" s="42"/>
      <c r="H64" s="28"/>
      <c r="I64" s="29"/>
    </row>
    <row r="65" spans="2:9" x14ac:dyDescent="0.2">
      <c r="B65" s="19"/>
      <c r="C65" s="20"/>
      <c r="D65" s="20"/>
      <c r="E65" s="40"/>
      <c r="F65" s="103"/>
      <c r="G65" s="42"/>
      <c r="H65" s="28"/>
      <c r="I65" s="29"/>
    </row>
    <row r="66" spans="2:9" x14ac:dyDescent="0.2">
      <c r="B66" s="19" t="s">
        <v>157</v>
      </c>
      <c r="C66" s="20" t="s">
        <v>117</v>
      </c>
      <c r="D66" s="23" t="str">
        <f>_xlfn.CONCAT(TEXT($F$13,"00,0"), " + ", TEXT($F$19,"00,0"))</f>
        <v>14000000,0 + 31000000,0</v>
      </c>
      <c r="E66" s="42" t="s">
        <v>117</v>
      </c>
      <c r="F66" s="106">
        <f>$F$13 + $F$19</f>
        <v>45000000</v>
      </c>
      <c r="G66" s="45" t="s">
        <v>117</v>
      </c>
      <c r="H66" s="44">
        <f>($F$13 + $F$19) / ($G$13 + $G$19)</f>
        <v>5.4044182970406494E-2</v>
      </c>
      <c r="I66" s="29"/>
    </row>
    <row r="67" spans="2:9" x14ac:dyDescent="0.2">
      <c r="B67" s="19"/>
      <c r="C67" s="20"/>
      <c r="D67" s="40" t="str">
        <f>_xlfn.CONCAT(TEXT(ROUND($G$13,1),"00,0")," + ", TEXT($G$19,"00,0"))</f>
        <v>272652054,8 + 560000000,0</v>
      </c>
      <c r="E67" s="40"/>
      <c r="F67" s="105">
        <f>$G$13 + $G$19</f>
        <v>832652054.7945205</v>
      </c>
      <c r="G67" s="42"/>
      <c r="H67" s="28"/>
      <c r="I67" s="29"/>
    </row>
    <row r="68" spans="2:9" x14ac:dyDescent="0.2">
      <c r="B68" s="19"/>
      <c r="C68" s="20"/>
      <c r="D68" s="20"/>
      <c r="E68" s="40"/>
      <c r="F68" s="103"/>
      <c r="G68" s="42"/>
      <c r="H68" s="28"/>
      <c r="I68" s="29"/>
    </row>
    <row r="69" spans="2:9" x14ac:dyDescent="0.2">
      <c r="B69" s="19" t="s">
        <v>158</v>
      </c>
      <c r="C69" s="20" t="s">
        <v>117</v>
      </c>
      <c r="D69" s="23" t="str">
        <f>_xlfn.CONCAT(TEXT($F$14,"00,0"), " + ", TEXT($F$20,"00,0"))</f>
        <v>15000000,0 + 35000000,0</v>
      </c>
      <c r="E69" s="42" t="s">
        <v>117</v>
      </c>
      <c r="F69" s="106">
        <f>$F$14 + $F$20</f>
        <v>50000000</v>
      </c>
      <c r="G69" s="45" t="s">
        <v>117</v>
      </c>
      <c r="H69" s="44">
        <f>($F$14 + $F$20) / ($G$14 + $G$20)</f>
        <v>5.5167673552074671E-2</v>
      </c>
      <c r="I69" s="29"/>
    </row>
    <row r="70" spans="2:9" x14ac:dyDescent="0.2">
      <c r="B70" s="19"/>
      <c r="C70" s="20"/>
      <c r="D70" s="40" t="str">
        <f>_xlfn.CONCAT(TEXT(ROUND($G$14,1),"00,0")," + ", TEXT($G$20,"00,0"))</f>
        <v>296327868,9 + 610000000,0</v>
      </c>
      <c r="E70" s="40"/>
      <c r="F70" s="105">
        <f>$G$14 + $G$20</f>
        <v>906327868.85245895</v>
      </c>
      <c r="G70" s="40"/>
      <c r="H70" s="28"/>
      <c r="I70" s="29"/>
    </row>
    <row r="71" spans="2:9" x14ac:dyDescent="0.2">
      <c r="B71" s="26"/>
      <c r="C71" s="20"/>
      <c r="D71" s="20"/>
      <c r="E71" s="20"/>
      <c r="F71" s="40"/>
      <c r="G71" s="40"/>
      <c r="H71" s="25"/>
      <c r="I71" s="58"/>
    </row>
    <row r="72" spans="2:9" x14ac:dyDescent="0.2">
      <c r="I72" s="29"/>
    </row>
    <row r="73" spans="2:9" x14ac:dyDescent="0.2">
      <c r="I73" s="29"/>
    </row>
  </sheetData>
  <mergeCells count="1">
    <mergeCell ref="H1:L1"/>
  </mergeCells>
  <hyperlinks>
    <hyperlink ref="H1:L1" location="'Table of Contents'!A1" display="Back to Table of Contents" xr:uid="{8BD0B01F-5FA4-4313-93EE-3B15DB737F12}"/>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799EC-79D9-4FD1-8A6B-A067386BCB1C}">
  <sheetPr>
    <tabColor theme="4"/>
  </sheetPr>
  <dimension ref="A1:L55"/>
  <sheetViews>
    <sheetView showGridLines="0" zoomScaleNormal="100" zoomScalePageLayoutView="85" workbookViewId="0">
      <pane ySplit="6" topLeftCell="A7" activePane="bottomLeft" state="frozen"/>
      <selection activeCell="B16" sqref="B16"/>
      <selection pane="bottomLeft"/>
    </sheetView>
  </sheetViews>
  <sheetFormatPr defaultColWidth="8.7109375" defaultRowHeight="12.75" x14ac:dyDescent="0.2"/>
  <cols>
    <col min="1" max="1" width="7.28515625" style="7" customWidth="1"/>
    <col min="2" max="2" width="26.5703125" customWidth="1"/>
    <col min="3" max="3" width="15" customWidth="1"/>
    <col min="4" max="4" width="17.140625" customWidth="1"/>
    <col min="5" max="5" width="28.85546875" customWidth="1"/>
    <col min="6" max="6" width="39.42578125" customWidth="1"/>
    <col min="7" max="7" width="10.7109375" customWidth="1"/>
    <col min="8" max="8" width="21.7109375" bestFit="1" customWidth="1"/>
    <col min="9" max="12" width="10.42578125" customWidth="1"/>
  </cols>
  <sheetData>
    <row r="1" spans="1:12" s="1" customFormat="1" ht="34.9" customHeight="1" x14ac:dyDescent="0.2">
      <c r="A1" s="6"/>
      <c r="B1" s="2" t="str">
        <f ca="1">MID(CELL("filename",A1),FIND("]",CELL("filename",A1))+ 1,255)&amp;" - calculation example"</f>
        <v>Multi year index two funds - calculation example</v>
      </c>
      <c r="H1" s="181" t="s">
        <v>68</v>
      </c>
      <c r="I1" s="181"/>
      <c r="J1" s="181"/>
      <c r="K1" s="181"/>
      <c r="L1" s="181"/>
    </row>
    <row r="3" spans="1:12" x14ac:dyDescent="0.2">
      <c r="A3"/>
    </row>
    <row r="4" spans="1:12" x14ac:dyDescent="0.2">
      <c r="A4"/>
      <c r="B4" s="12" t="s">
        <v>69</v>
      </c>
      <c r="C4" s="12" t="s">
        <v>70</v>
      </c>
      <c r="D4" s="12" t="s">
        <v>134</v>
      </c>
    </row>
    <row r="5" spans="1:12" x14ac:dyDescent="0.2">
      <c r="A5"/>
      <c r="B5" s="12" t="s">
        <v>72</v>
      </c>
      <c r="C5" s="12" t="s">
        <v>73</v>
      </c>
      <c r="D5" s="12" t="s">
        <v>73</v>
      </c>
    </row>
    <row r="6" spans="1:12" x14ac:dyDescent="0.2">
      <c r="A6"/>
      <c r="B6" s="12" t="s">
        <v>74</v>
      </c>
      <c r="C6" s="12" t="s">
        <v>75</v>
      </c>
      <c r="D6" s="12" t="s">
        <v>75</v>
      </c>
    </row>
    <row r="7" spans="1:12" x14ac:dyDescent="0.2">
      <c r="A7"/>
    </row>
    <row r="8" spans="1:12" x14ac:dyDescent="0.2">
      <c r="A8"/>
    </row>
    <row r="9" spans="1:12" x14ac:dyDescent="0.2">
      <c r="A9"/>
    </row>
    <row r="10" spans="1:12" x14ac:dyDescent="0.2">
      <c r="A10"/>
      <c r="B10" s="54" t="s">
        <v>131</v>
      </c>
      <c r="H10" s="3" t="s">
        <v>78</v>
      </c>
    </row>
    <row r="11" spans="1:12" x14ac:dyDescent="0.2">
      <c r="A11"/>
      <c r="B11" s="4"/>
      <c r="C11" s="4">
        <v>2009</v>
      </c>
      <c r="D11" s="4">
        <v>2010</v>
      </c>
      <c r="E11" s="4">
        <v>2011</v>
      </c>
      <c r="F11" s="4">
        <v>2012</v>
      </c>
      <c r="G11" s="38"/>
      <c r="H11" s="4"/>
      <c r="I11" s="4">
        <v>2009</v>
      </c>
      <c r="J11" s="4">
        <v>2010</v>
      </c>
      <c r="K11" s="4">
        <v>2011</v>
      </c>
      <c r="L11" s="4">
        <v>2012</v>
      </c>
    </row>
    <row r="12" spans="1:12" s="29" customFormat="1" x14ac:dyDescent="0.2">
      <c r="B12" s="29" t="s">
        <v>89</v>
      </c>
      <c r="D12" s="39">
        <f>'Multi year two funds'!H29</f>
        <v>4.3704813929386896E-2</v>
      </c>
      <c r="E12" s="39">
        <f>'Multi year two funds'!H32</f>
        <v>3.723043715739114E-2</v>
      </c>
      <c r="F12" s="39">
        <f>'Multi year two funds'!H35</f>
        <v>8.7164924212277978E-2</v>
      </c>
      <c r="H12" s="29" t="s">
        <v>89</v>
      </c>
      <c r="I12" s="29">
        <f>C26</f>
        <v>100</v>
      </c>
      <c r="J12" s="53">
        <f t="shared" ref="J12:L12" si="0">D26</f>
        <v>104.3704813929387</v>
      </c>
      <c r="K12" s="53">
        <f t="shared" si="0"/>
        <v>108.25624004152516</v>
      </c>
      <c r="L12" s="53">
        <f t="shared" si="0"/>
        <v>117.69238700025089</v>
      </c>
    </row>
    <row r="13" spans="1:12" s="29" customFormat="1" x14ac:dyDescent="0.2">
      <c r="A13" s="36"/>
      <c r="B13" s="29" t="s">
        <v>91</v>
      </c>
      <c r="D13" s="39">
        <f>'Multi year two funds'!H46</f>
        <v>-1.3563562943602829E-2</v>
      </c>
      <c r="E13" s="39">
        <f>'Multi year two funds'!H49</f>
        <v>-1.6813745813015354E-2</v>
      </c>
      <c r="F13" s="39">
        <f>'Multi year two funds'!H52</f>
        <v>3.1997250660203307E-2</v>
      </c>
      <c r="H13" s="29" t="s">
        <v>91</v>
      </c>
      <c r="I13" s="29">
        <f t="shared" ref="I13:L13" si="1">C39</f>
        <v>100</v>
      </c>
      <c r="J13" s="53">
        <f t="shared" si="1"/>
        <v>98.643643705639718</v>
      </c>
      <c r="K13" s="53">
        <f t="shared" si="1"/>
        <v>96.985074554303438</v>
      </c>
      <c r="L13" s="53">
        <f t="shared" si="1"/>
        <v>100.08833029511599</v>
      </c>
    </row>
    <row r="14" spans="1:12" s="29" customFormat="1" x14ac:dyDescent="0.2">
      <c r="A14" s="36"/>
      <c r="B14" s="29" t="s">
        <v>95</v>
      </c>
      <c r="D14" s="39">
        <f>'Multi year two funds'!H63</f>
        <v>5.7268376872989725E-2</v>
      </c>
      <c r="E14" s="39">
        <f>'Multi year two funds'!H66</f>
        <v>5.4044182970406494E-2</v>
      </c>
      <c r="F14" s="39">
        <f>'Multi year two funds'!H69</f>
        <v>5.5167673552074671E-2</v>
      </c>
      <c r="H14" s="29" t="s">
        <v>95</v>
      </c>
      <c r="I14" s="29">
        <f t="shared" ref="I14:L14" si="2">C52</f>
        <v>100</v>
      </c>
      <c r="J14" s="53">
        <f t="shared" si="2"/>
        <v>105.72683768729898</v>
      </c>
      <c r="K14" s="53">
        <f t="shared" si="2"/>
        <v>111.44075824815384</v>
      </c>
      <c r="L14" s="53">
        <f t="shared" si="2"/>
        <v>117.58868561958367</v>
      </c>
    </row>
    <row r="15" spans="1:12" x14ac:dyDescent="0.2">
      <c r="B15" s="10"/>
    </row>
    <row r="16" spans="1:12" x14ac:dyDescent="0.2">
      <c r="B16" s="10"/>
    </row>
    <row r="17" spans="1:9" x14ac:dyDescent="0.2">
      <c r="B17" s="10"/>
    </row>
    <row r="18" spans="1:9" x14ac:dyDescent="0.2">
      <c r="B18" s="21" t="s">
        <v>115</v>
      </c>
      <c r="C18" s="22" t="s">
        <v>132</v>
      </c>
      <c r="D18" s="20"/>
      <c r="E18" s="20"/>
      <c r="F18" s="20"/>
      <c r="G18" s="29"/>
      <c r="H18" s="29"/>
      <c r="I18" s="29"/>
    </row>
    <row r="19" spans="1:9" x14ac:dyDescent="0.2">
      <c r="B19" s="19"/>
      <c r="C19" s="20"/>
      <c r="D19" s="20"/>
      <c r="E19" s="20"/>
      <c r="F19" s="20"/>
      <c r="G19" s="29"/>
      <c r="H19" s="29"/>
      <c r="I19" s="29"/>
    </row>
    <row r="20" spans="1:9" x14ac:dyDescent="0.2">
      <c r="B20" s="46"/>
      <c r="C20" s="50">
        <v>2009</v>
      </c>
      <c r="D20" s="50">
        <v>2010</v>
      </c>
      <c r="E20" s="50">
        <v>2011</v>
      </c>
      <c r="F20" s="50">
        <v>2012</v>
      </c>
      <c r="G20" s="29"/>
      <c r="H20" s="29"/>
      <c r="I20" s="29"/>
    </row>
    <row r="21" spans="1:9" x14ac:dyDescent="0.2">
      <c r="B21" s="46"/>
      <c r="C21" s="51"/>
      <c r="D21" s="51"/>
      <c r="E21" s="51"/>
      <c r="F21" s="51"/>
      <c r="G21" s="29"/>
      <c r="H21" s="29"/>
      <c r="I21" s="29"/>
    </row>
    <row r="22" spans="1:9" x14ac:dyDescent="0.2">
      <c r="B22" s="12" t="s">
        <v>89</v>
      </c>
      <c r="C22" s="47">
        <v>100</v>
      </c>
      <c r="D22" s="49" t="str">
        <f>_xlfn.CONCAT("100", " * (1 + tr1)")</f>
        <v>100 * (1 + tr1)</v>
      </c>
      <c r="E22" s="49" t="str">
        <f>_xlfn.CONCAT("100", " * (1 + tr1) *(1 + tr2)")</f>
        <v>100 * (1 + tr1) *(1 + tr2)</v>
      </c>
      <c r="F22" s="49" t="str">
        <f>_xlfn.CONCAT("100", " * (1 + tr1) *(1 + tr2) * (1 + tr3)")</f>
        <v>100 * (1 + tr1) *(1 + tr2) * (1 + tr3)</v>
      </c>
      <c r="G22" s="29"/>
      <c r="H22" s="29"/>
      <c r="I22" s="29"/>
    </row>
    <row r="23" spans="1:9" x14ac:dyDescent="0.2">
      <c r="B23" s="12"/>
      <c r="C23" s="47"/>
      <c r="D23" s="49"/>
      <c r="E23" s="49"/>
      <c r="F23" s="49"/>
      <c r="G23" s="29"/>
      <c r="H23" s="29"/>
      <c r="I23" s="29"/>
    </row>
    <row r="24" spans="1:9" x14ac:dyDescent="0.2">
      <c r="B24" s="12"/>
      <c r="C24" s="52">
        <v>100</v>
      </c>
      <c r="D24" s="40" t="str">
        <f>_xlfn.CONCAT("100", " * (1 + ",ROUND($D$12,3), ")")</f>
        <v>100 * (1 + 0,044)</v>
      </c>
      <c r="E24" s="40" t="str">
        <f>_xlfn.CONCAT("100", " * (1 + ",ROUND($D$12,3), ")", " * (1 + ",ROUND($E$12,3), ")")</f>
        <v>100 * (1 + 0,044) * (1 + 0,037)</v>
      </c>
      <c r="F24" s="40" t="str">
        <f>_xlfn.CONCAT("100", " * (1 + ",ROUND($D$12,3), ")", " * (1 + ",ROUND($E$12,3), ")", " * (1 + ",ROUND($F$12,3), ")")</f>
        <v>100 * (1 + 0,044) * (1 + 0,037) * (1 + 0,087)</v>
      </c>
      <c r="G24" s="29"/>
      <c r="H24" s="29"/>
      <c r="I24" s="29"/>
    </row>
    <row r="25" spans="1:9" x14ac:dyDescent="0.2">
      <c r="B25" s="12"/>
      <c r="C25" s="52"/>
      <c r="D25" s="40"/>
      <c r="E25" s="40"/>
      <c r="F25" s="40"/>
      <c r="G25" s="29"/>
      <c r="H25" s="29"/>
      <c r="I25" s="29"/>
    </row>
    <row r="26" spans="1:9" x14ac:dyDescent="0.2">
      <c r="B26" s="12"/>
      <c r="C26" s="47">
        <v>100</v>
      </c>
      <c r="D26" s="41">
        <f>100 * (1 + $D$12)</f>
        <v>104.3704813929387</v>
      </c>
      <c r="E26" s="41">
        <f>100 * (1 + $D$12) * (1 + $E$12)</f>
        <v>108.25624004152516</v>
      </c>
      <c r="F26" s="41">
        <f>100 * (1 + $D$12) * (1 + $E$12) * (1 + $F$12)</f>
        <v>117.69238700025089</v>
      </c>
      <c r="G26" s="29"/>
      <c r="H26" s="29"/>
      <c r="I26" s="29"/>
    </row>
    <row r="27" spans="1:9" x14ac:dyDescent="0.2">
      <c r="B27" s="12"/>
      <c r="C27" s="47"/>
      <c r="D27" s="48"/>
      <c r="E27" s="48"/>
      <c r="F27" s="48"/>
      <c r="G27" s="29"/>
      <c r="H27" s="29"/>
      <c r="I27" s="29"/>
    </row>
    <row r="28" spans="1:9" x14ac:dyDescent="0.2">
      <c r="A28"/>
    </row>
    <row r="29" spans="1:9" x14ac:dyDescent="0.2">
      <c r="A29"/>
    </row>
    <row r="30" spans="1:9" x14ac:dyDescent="0.2">
      <c r="A30"/>
    </row>
    <row r="31" spans="1:9" x14ac:dyDescent="0.2">
      <c r="B31" s="21" t="s">
        <v>115</v>
      </c>
      <c r="C31" s="22" t="s">
        <v>159</v>
      </c>
      <c r="D31" s="20"/>
      <c r="E31" s="20"/>
      <c r="F31" s="20"/>
      <c r="G31" s="29"/>
      <c r="H31" s="29"/>
      <c r="I31" s="29"/>
    </row>
    <row r="32" spans="1:9" x14ac:dyDescent="0.2">
      <c r="B32" s="19"/>
      <c r="C32" s="20"/>
      <c r="D32" s="20"/>
      <c r="E32" s="20"/>
      <c r="F32" s="20"/>
      <c r="G32" s="29"/>
      <c r="H32" s="29"/>
      <c r="I32" s="29"/>
    </row>
    <row r="33" spans="1:9" x14ac:dyDescent="0.2">
      <c r="B33" s="46"/>
      <c r="C33" s="50">
        <v>2009</v>
      </c>
      <c r="D33" s="50">
        <v>2010</v>
      </c>
      <c r="E33" s="50">
        <v>2011</v>
      </c>
      <c r="F33" s="50">
        <v>2012</v>
      </c>
      <c r="G33" s="29"/>
      <c r="H33" s="29"/>
      <c r="I33" s="29"/>
    </row>
    <row r="34" spans="1:9" x14ac:dyDescent="0.2">
      <c r="B34" s="46"/>
      <c r="C34" s="51"/>
      <c r="D34" s="51"/>
      <c r="E34" s="51"/>
      <c r="F34" s="51"/>
      <c r="G34" s="29"/>
      <c r="H34" s="29"/>
      <c r="I34" s="29"/>
    </row>
    <row r="35" spans="1:9" x14ac:dyDescent="0.2">
      <c r="B35" s="12" t="s">
        <v>91</v>
      </c>
      <c r="C35" s="47">
        <v>100</v>
      </c>
      <c r="D35" s="49" t="str">
        <f>_xlfn.CONCAT("100", " * (1 + cg1)")</f>
        <v>100 * (1 + cg1)</v>
      </c>
      <c r="E35" s="49" t="str">
        <f>_xlfn.CONCAT("100", " * (1 + cg1) *(1 + cg2)")</f>
        <v>100 * (1 + cg1) *(1 + cg2)</v>
      </c>
      <c r="F35" s="49" t="str">
        <f>_xlfn.CONCAT("100", " * (1 + cg1) *(1 + cg2) * (1 + cg3)")</f>
        <v>100 * (1 + cg1) *(1 + cg2) * (1 + cg3)</v>
      </c>
      <c r="G35" s="29"/>
      <c r="H35" s="29"/>
      <c r="I35" s="29"/>
    </row>
    <row r="36" spans="1:9" x14ac:dyDescent="0.2">
      <c r="B36" s="12"/>
      <c r="C36" s="47"/>
      <c r="D36" s="49"/>
      <c r="E36" s="49"/>
      <c r="F36" s="49"/>
      <c r="G36" s="29"/>
      <c r="H36" s="29"/>
      <c r="I36" s="29"/>
    </row>
    <row r="37" spans="1:9" x14ac:dyDescent="0.2">
      <c r="B37" s="12"/>
      <c r="C37" s="52">
        <v>100</v>
      </c>
      <c r="D37" s="40" t="str">
        <f>_xlfn.CONCAT("100", " * (1 + ",ROUND($D$13,3), ")")</f>
        <v>100 * (1 + -0,014)</v>
      </c>
      <c r="E37" s="40" t="str">
        <f>_xlfn.CONCAT("100", " * (1 + ",ROUND($D$13,3), ")", " * (1 + ",ROUND($E$13,3), ")")</f>
        <v>100 * (1 + -0,014) * (1 + -0,017)</v>
      </c>
      <c r="F37" s="40" t="str">
        <f>_xlfn.CONCAT("100", " * (1 + ",ROUND($D$13,3), ")", " * (1 + ",ROUND($E$13,3), ")", " * (1 + ",ROUND($F$13,3), ")")</f>
        <v>100 * (1 + -0,014) * (1 + -0,017) * (1 + 0,032)</v>
      </c>
      <c r="G37" s="29"/>
      <c r="H37" s="29"/>
      <c r="I37" s="29"/>
    </row>
    <row r="38" spans="1:9" x14ac:dyDescent="0.2">
      <c r="B38" s="12"/>
      <c r="C38" s="52"/>
      <c r="D38" s="40"/>
      <c r="E38" s="40"/>
      <c r="F38" s="40"/>
      <c r="G38" s="29"/>
      <c r="H38" s="29"/>
      <c r="I38" s="29"/>
    </row>
    <row r="39" spans="1:9" x14ac:dyDescent="0.2">
      <c r="B39" s="12"/>
      <c r="C39" s="47">
        <v>100</v>
      </c>
      <c r="D39" s="41">
        <f>100 * (1 + $D$13)</f>
        <v>98.643643705639718</v>
      </c>
      <c r="E39" s="41">
        <f>100 * (1 + $D$13) * (1 + $E$13)</f>
        <v>96.985074554303438</v>
      </c>
      <c r="F39" s="41">
        <f>100 * (1 + $D$13) * (1 + $E$13) * (1 + $F$13)</f>
        <v>100.08833029511599</v>
      </c>
      <c r="G39" s="29"/>
      <c r="H39" s="29"/>
      <c r="I39" s="29"/>
    </row>
    <row r="40" spans="1:9" x14ac:dyDescent="0.2">
      <c r="B40" s="12"/>
      <c r="C40" s="47"/>
      <c r="D40" s="48"/>
      <c r="E40" s="48"/>
      <c r="F40" s="48"/>
      <c r="G40" s="29"/>
      <c r="H40" s="29"/>
      <c r="I40" s="29"/>
    </row>
    <row r="41" spans="1:9" x14ac:dyDescent="0.2">
      <c r="A41"/>
    </row>
    <row r="42" spans="1:9" x14ac:dyDescent="0.2">
      <c r="A42"/>
    </row>
    <row r="43" spans="1:9" x14ac:dyDescent="0.2">
      <c r="A43"/>
    </row>
    <row r="44" spans="1:9" x14ac:dyDescent="0.2">
      <c r="B44" s="21" t="s">
        <v>115</v>
      </c>
      <c r="C44" s="22" t="s">
        <v>133</v>
      </c>
      <c r="D44" s="20"/>
      <c r="E44" s="20"/>
      <c r="F44" s="20"/>
      <c r="G44" s="29"/>
      <c r="H44" s="29"/>
      <c r="I44" s="29"/>
    </row>
    <row r="45" spans="1:9" x14ac:dyDescent="0.2">
      <c r="B45" s="19"/>
      <c r="C45" s="20"/>
      <c r="D45" s="20"/>
      <c r="E45" s="20"/>
      <c r="F45" s="20"/>
      <c r="G45" s="29"/>
      <c r="H45" s="29"/>
      <c r="I45" s="29"/>
    </row>
    <row r="46" spans="1:9" x14ac:dyDescent="0.2">
      <c r="B46" s="46"/>
      <c r="C46" s="50">
        <v>2009</v>
      </c>
      <c r="D46" s="50">
        <v>2010</v>
      </c>
      <c r="E46" s="50">
        <v>2011</v>
      </c>
      <c r="F46" s="50">
        <v>2012</v>
      </c>
      <c r="G46" s="29"/>
      <c r="H46" s="29"/>
      <c r="I46" s="29"/>
    </row>
    <row r="47" spans="1:9" x14ac:dyDescent="0.2">
      <c r="B47" s="46"/>
      <c r="C47" s="51"/>
      <c r="D47" s="51"/>
      <c r="E47" s="51"/>
      <c r="F47" s="51"/>
      <c r="G47" s="29"/>
      <c r="H47" s="29"/>
      <c r="I47" s="29"/>
    </row>
    <row r="48" spans="1:9" x14ac:dyDescent="0.2">
      <c r="B48" s="12" t="s">
        <v>95</v>
      </c>
      <c r="C48" s="47">
        <v>100</v>
      </c>
      <c r="D48" s="49" t="str">
        <f>_xlfn.CONCAT("100", " * (1 + dir1)")</f>
        <v>100 * (1 + dir1)</v>
      </c>
      <c r="E48" s="49" t="str">
        <f>_xlfn.CONCAT("100", " * (1 + dir1) *(1 + dir2)")</f>
        <v>100 * (1 + dir1) *(1 + dir2)</v>
      </c>
      <c r="F48" s="49" t="str">
        <f>_xlfn.CONCAT("100", " * (1 + dir1) *(1 + dir2) * (1 + dir3)")</f>
        <v>100 * (1 + dir1) *(1 + dir2) * (1 + dir3)</v>
      </c>
      <c r="G48" s="29"/>
      <c r="H48" s="29"/>
      <c r="I48" s="29"/>
    </row>
    <row r="49" spans="1:9" x14ac:dyDescent="0.2">
      <c r="B49" s="12"/>
      <c r="C49" s="47"/>
      <c r="D49" s="49"/>
      <c r="E49" s="49"/>
      <c r="F49" s="49"/>
      <c r="G49" s="29"/>
      <c r="H49" s="29"/>
      <c r="I49" s="29"/>
    </row>
    <row r="50" spans="1:9" x14ac:dyDescent="0.2">
      <c r="B50" s="12"/>
      <c r="C50" s="52">
        <v>100</v>
      </c>
      <c r="D50" s="40" t="str">
        <f>_xlfn.CONCAT("100", " * (1 + ",ROUND($D$14,3), ")")</f>
        <v>100 * (1 + 0,057)</v>
      </c>
      <c r="E50" s="40" t="str">
        <f>_xlfn.CONCAT("100", " * (1 + ",ROUND($D$14,3), ")", " * (1 + ",ROUND($E$14,3), ")")</f>
        <v>100 * (1 + 0,057) * (1 + 0,054)</v>
      </c>
      <c r="F50" s="40" t="str">
        <f>_xlfn.CONCAT("100", " * (1 + ",ROUND($D$14,3), ")", " * (1 + ",ROUND($E$14,3), ")", " * (1 + ",ROUND($F$14,3), ")")</f>
        <v>100 * (1 + 0,057) * (1 + 0,054) * (1 + 0,055)</v>
      </c>
      <c r="G50" s="29"/>
      <c r="H50" s="29"/>
      <c r="I50" s="29"/>
    </row>
    <row r="51" spans="1:9" x14ac:dyDescent="0.2">
      <c r="B51" s="12"/>
      <c r="C51" s="52"/>
      <c r="D51" s="40"/>
      <c r="E51" s="40"/>
      <c r="F51" s="40"/>
      <c r="G51" s="29"/>
      <c r="H51" s="29"/>
      <c r="I51" s="29"/>
    </row>
    <row r="52" spans="1:9" x14ac:dyDescent="0.2">
      <c r="B52" s="12"/>
      <c r="C52" s="47">
        <v>100</v>
      </c>
      <c r="D52" s="41">
        <f>100 * (1 + $D$14)</f>
        <v>105.72683768729898</v>
      </c>
      <c r="E52" s="41">
        <f>100 * (1 + $D$14) * (1 + $E$14)</f>
        <v>111.44075824815384</v>
      </c>
      <c r="F52" s="41">
        <f>100 * (1 + $D$14) * (1 + $E$14) * (1 + $F$14)</f>
        <v>117.58868561958367</v>
      </c>
      <c r="G52" s="29"/>
      <c r="H52" s="29"/>
      <c r="I52" s="29"/>
    </row>
    <row r="53" spans="1:9" x14ac:dyDescent="0.2">
      <c r="B53" s="12"/>
      <c r="C53" s="47"/>
      <c r="D53" s="48"/>
      <c r="E53" s="48"/>
      <c r="F53" s="48"/>
      <c r="G53" s="29"/>
      <c r="H53" s="29"/>
      <c r="I53" s="29"/>
    </row>
    <row r="54" spans="1:9" x14ac:dyDescent="0.2">
      <c r="A54"/>
    </row>
    <row r="55" spans="1:9" x14ac:dyDescent="0.2">
      <c r="A55"/>
    </row>
  </sheetData>
  <mergeCells count="1">
    <mergeCell ref="H1:L1"/>
  </mergeCells>
  <hyperlinks>
    <hyperlink ref="H1:L1" location="'Table of Contents'!A1" display="Back to Table of Contents" xr:uid="{6227E96A-CF78-4975-94F2-41CE04823801}"/>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12462-455D-463B-B962-9E12FDFC47D0}">
  <sheetPr>
    <tabColor theme="5"/>
  </sheetPr>
  <dimension ref="A1:AE72"/>
  <sheetViews>
    <sheetView showGridLines="0" zoomScaleNormal="100" zoomScalePageLayoutView="85" workbookViewId="0">
      <pane ySplit="6" topLeftCell="A36" activePane="bottomLeft" state="frozen"/>
      <selection activeCell="B9" sqref="B9"/>
      <selection pane="bottomLeft" activeCell="L55" sqref="L55"/>
    </sheetView>
  </sheetViews>
  <sheetFormatPr defaultColWidth="8.7109375" defaultRowHeight="12.75" x14ac:dyDescent="0.2"/>
  <cols>
    <col min="1" max="1" width="7.28515625" style="7" customWidth="1"/>
    <col min="2" max="2" width="22.28515625" customWidth="1"/>
    <col min="3" max="6" width="17.7109375" customWidth="1"/>
    <col min="7" max="7" width="13.140625" customWidth="1"/>
    <col min="8" max="8" width="17.7109375" customWidth="1"/>
    <col min="9" max="9" width="22.85546875" customWidth="1"/>
    <col min="10" max="10" width="16" bestFit="1" customWidth="1"/>
    <col min="11" max="11" width="14" bestFit="1" customWidth="1"/>
    <col min="12" max="12" width="15.7109375" customWidth="1"/>
    <col min="13" max="13" width="16.42578125" bestFit="1" customWidth="1"/>
    <col min="14" max="14" width="11.85546875" customWidth="1"/>
    <col min="15" max="15" width="16" customWidth="1"/>
    <col min="16" max="18" width="13.7109375" customWidth="1"/>
    <col min="22" max="22" width="46.28515625" bestFit="1" customWidth="1"/>
    <col min="23" max="23" width="15.42578125" customWidth="1"/>
    <col min="25" max="25" width="12" customWidth="1"/>
    <col min="26" max="26" width="13.5703125" customWidth="1"/>
    <col min="31" max="31" width="13.42578125" customWidth="1"/>
  </cols>
  <sheetData>
    <row r="1" spans="1:22" s="1" customFormat="1" ht="34.9" customHeight="1" x14ac:dyDescent="0.2">
      <c r="A1" s="6"/>
      <c r="B1" s="2" t="str">
        <f ca="1">MID(CELL("filename",A1),FIND("]",CELL("filename",A1))+ 1,255)&amp;" - calculation example"</f>
        <v>Quarterly return 2010 - calculation example</v>
      </c>
      <c r="H1" s="181" t="s">
        <v>68</v>
      </c>
      <c r="I1" s="181"/>
      <c r="J1" s="181"/>
      <c r="K1" s="181"/>
      <c r="L1" s="181"/>
    </row>
    <row r="3" spans="1:22" x14ac:dyDescent="0.2">
      <c r="A3"/>
    </row>
    <row r="4" spans="1:22" ht="13.15" customHeight="1" x14ac:dyDescent="0.2">
      <c r="A4"/>
      <c r="B4" s="12" t="s">
        <v>69</v>
      </c>
      <c r="C4" s="12" t="s">
        <v>70</v>
      </c>
      <c r="F4" s="180" t="s">
        <v>71</v>
      </c>
      <c r="G4" s="180"/>
    </row>
    <row r="5" spans="1:22" x14ac:dyDescent="0.2">
      <c r="A5"/>
      <c r="B5" s="12" t="s">
        <v>72</v>
      </c>
      <c r="C5" s="12" t="s">
        <v>73</v>
      </c>
      <c r="F5" s="180"/>
      <c r="G5" s="180"/>
    </row>
    <row r="6" spans="1:22" x14ac:dyDescent="0.2">
      <c r="A6"/>
      <c r="B6" s="12" t="s">
        <v>74</v>
      </c>
      <c r="C6" s="12" t="s">
        <v>75</v>
      </c>
      <c r="F6" s="180"/>
      <c r="G6" s="180"/>
    </row>
    <row r="7" spans="1:22" x14ac:dyDescent="0.2">
      <c r="A7"/>
    </row>
    <row r="8" spans="1:22" x14ac:dyDescent="0.2">
      <c r="A8"/>
    </row>
    <row r="9" spans="1:22" x14ac:dyDescent="0.2">
      <c r="A9"/>
    </row>
    <row r="10" spans="1:22" x14ac:dyDescent="0.2">
      <c r="A10"/>
      <c r="B10" s="3" t="s">
        <v>76</v>
      </c>
      <c r="F10" s="3" t="s">
        <v>77</v>
      </c>
      <c r="O10" s="3" t="s">
        <v>78</v>
      </c>
    </row>
    <row r="11" spans="1:22" x14ac:dyDescent="0.2">
      <c r="A11"/>
      <c r="B11" s="4" t="s">
        <v>79</v>
      </c>
      <c r="C11" s="4" t="s">
        <v>80</v>
      </c>
      <c r="D11" s="4" t="s">
        <v>81</v>
      </c>
      <c r="F11" s="4" t="s">
        <v>82</v>
      </c>
      <c r="G11" s="4" t="s">
        <v>79</v>
      </c>
      <c r="H11" s="4" t="s">
        <v>80</v>
      </c>
      <c r="I11" s="4" t="s">
        <v>160</v>
      </c>
      <c r="J11" s="4" t="s">
        <v>83</v>
      </c>
      <c r="K11" s="4" t="s">
        <v>84</v>
      </c>
      <c r="L11" s="4" t="s">
        <v>85</v>
      </c>
      <c r="M11" s="4" t="s">
        <v>86</v>
      </c>
      <c r="O11" s="56"/>
      <c r="P11" s="4" t="s">
        <v>161</v>
      </c>
      <c r="Q11" s="4" t="s">
        <v>162</v>
      </c>
      <c r="R11" s="4" t="s">
        <v>163</v>
      </c>
      <c r="S11" s="4" t="s">
        <v>164</v>
      </c>
      <c r="U11" s="128" t="s">
        <v>87</v>
      </c>
      <c r="V11" s="122"/>
    </row>
    <row r="12" spans="1:22" s="29" customFormat="1" x14ac:dyDescent="0.2">
      <c r="B12" s="16">
        <v>2009</v>
      </c>
      <c r="C12" s="16">
        <v>4</v>
      </c>
      <c r="D12" s="18">
        <v>150000000</v>
      </c>
      <c r="F12" s="15">
        <v>40220</v>
      </c>
      <c r="G12" s="16">
        <f t="shared" ref="G12:G24" si="0">YEAR(F12)</f>
        <v>2010</v>
      </c>
      <c r="H12" s="16">
        <f t="shared" ref="H12:H24" si="1">ROUNDUP(MONTH(F12)/3,0)</f>
        <v>1</v>
      </c>
      <c r="I12" s="16">
        <f t="shared" ref="I12:I24" si="2">(EOMONTH(DATE(YEAR(F12),H12*3,1),0))-EOMONTH(DATE(G12,H12*3,1),-3)</f>
        <v>90</v>
      </c>
      <c r="J12" s="17">
        <f t="shared" ref="J12:J24" si="3">F12-DATE(YEAR(F12)-1,12,31)</f>
        <v>42</v>
      </c>
      <c r="K12" s="17">
        <f t="shared" ref="K12:K24" si="4">F12-EOMONTH(DATE(G12,H12*3,1),-3)</f>
        <v>42</v>
      </c>
      <c r="L12" s="18">
        <v>26000000</v>
      </c>
      <c r="M12" s="16" t="s">
        <v>88</v>
      </c>
      <c r="O12" s="29" t="s">
        <v>89</v>
      </c>
      <c r="P12" s="61">
        <f>D39</f>
        <v>-6.1025223759153787E-3</v>
      </c>
      <c r="Q12" s="61">
        <f>J39</f>
        <v>9.4905355373624649E-3</v>
      </c>
      <c r="R12" s="61">
        <f>R39</f>
        <v>4.2553191489361703E-3</v>
      </c>
      <c r="S12" s="61">
        <f>Z39</f>
        <v>2.4443165212770668E-2</v>
      </c>
      <c r="U12" s="123"/>
      <c r="V12" s="124"/>
    </row>
    <row r="13" spans="1:22" s="29" customFormat="1" x14ac:dyDescent="0.2">
      <c r="B13" s="16">
        <v>2010</v>
      </c>
      <c r="C13" s="16">
        <v>1</v>
      </c>
      <c r="D13" s="18">
        <v>175000000</v>
      </c>
      <c r="F13" s="15">
        <v>40305</v>
      </c>
      <c r="G13" s="16">
        <f t="shared" si="0"/>
        <v>2010</v>
      </c>
      <c r="H13" s="16">
        <f t="shared" si="1"/>
        <v>2</v>
      </c>
      <c r="I13" s="16">
        <f t="shared" si="2"/>
        <v>91</v>
      </c>
      <c r="J13" s="17">
        <f t="shared" si="3"/>
        <v>127</v>
      </c>
      <c r="K13" s="17">
        <f t="shared" si="4"/>
        <v>37</v>
      </c>
      <c r="L13" s="18">
        <v>39000000</v>
      </c>
      <c r="M13" s="16" t="s">
        <v>90</v>
      </c>
      <c r="O13" s="29" t="s">
        <v>91</v>
      </c>
      <c r="P13" s="61">
        <f>D55</f>
        <v>-6.1025223759153787E-3</v>
      </c>
      <c r="Q13" s="61">
        <f>J55</f>
        <v>-1.898107107472493E-2</v>
      </c>
      <c r="R13" s="61">
        <f>R55</f>
        <v>4.2553191489361703E-3</v>
      </c>
      <c r="S13" s="61">
        <f>Z55</f>
        <v>0</v>
      </c>
      <c r="U13" s="125" t="s">
        <v>92</v>
      </c>
      <c r="V13" s="124" t="s">
        <v>93</v>
      </c>
    </row>
    <row r="14" spans="1:22" s="29" customFormat="1" x14ac:dyDescent="0.2">
      <c r="B14" s="16">
        <v>2010</v>
      </c>
      <c r="C14" s="16">
        <v>2</v>
      </c>
      <c r="D14" s="18">
        <v>235000000</v>
      </c>
      <c r="F14" s="15">
        <v>40305</v>
      </c>
      <c r="G14" s="16">
        <f t="shared" si="0"/>
        <v>2010</v>
      </c>
      <c r="H14" s="16">
        <f t="shared" si="1"/>
        <v>2</v>
      </c>
      <c r="I14" s="16">
        <f t="shared" si="2"/>
        <v>91</v>
      </c>
      <c r="J14" s="17">
        <f t="shared" si="3"/>
        <v>127</v>
      </c>
      <c r="K14" s="17">
        <f t="shared" si="4"/>
        <v>37</v>
      </c>
      <c r="L14" s="18">
        <v>25000000</v>
      </c>
      <c r="M14" s="16" t="s">
        <v>94</v>
      </c>
      <c r="O14" s="29" t="s">
        <v>95</v>
      </c>
      <c r="P14" s="61">
        <f>D71</f>
        <v>0</v>
      </c>
      <c r="Q14" s="61">
        <f>J71</f>
        <v>2.8471606612087395E-2</v>
      </c>
      <c r="R14" s="61">
        <f>R71</f>
        <v>0</v>
      </c>
      <c r="S14" s="61">
        <f>Z71</f>
        <v>2.4443165212770668E-2</v>
      </c>
      <c r="U14" s="125" t="s">
        <v>96</v>
      </c>
      <c r="V14" s="124" t="s">
        <v>97</v>
      </c>
    </row>
    <row r="15" spans="1:22" s="29" customFormat="1" x14ac:dyDescent="0.2">
      <c r="B15" s="16">
        <v>2010</v>
      </c>
      <c r="C15" s="16">
        <v>3</v>
      </c>
      <c r="D15" s="18">
        <v>236000000</v>
      </c>
      <c r="F15" s="15">
        <v>40325</v>
      </c>
      <c r="G15" s="16">
        <f t="shared" si="0"/>
        <v>2010</v>
      </c>
      <c r="H15" s="16">
        <f t="shared" si="1"/>
        <v>2</v>
      </c>
      <c r="I15" s="16">
        <f t="shared" si="2"/>
        <v>91</v>
      </c>
      <c r="J15" s="17">
        <f t="shared" si="3"/>
        <v>147</v>
      </c>
      <c r="K15" s="17">
        <f t="shared" si="4"/>
        <v>57</v>
      </c>
      <c r="L15" s="18">
        <v>6000000</v>
      </c>
      <c r="M15" s="16" t="s">
        <v>98</v>
      </c>
      <c r="U15" s="125" t="s">
        <v>99</v>
      </c>
      <c r="V15" s="124" t="s">
        <v>100</v>
      </c>
    </row>
    <row r="16" spans="1:22" s="29" customFormat="1" x14ac:dyDescent="0.2">
      <c r="B16" s="16">
        <v>2010</v>
      </c>
      <c r="C16" s="16">
        <v>4</v>
      </c>
      <c r="D16" s="18">
        <v>271000000</v>
      </c>
      <c r="F16" s="15">
        <v>40484</v>
      </c>
      <c r="G16" s="16">
        <f t="shared" si="0"/>
        <v>2010</v>
      </c>
      <c r="H16" s="16">
        <f t="shared" si="1"/>
        <v>4</v>
      </c>
      <c r="I16" s="16">
        <f t="shared" si="2"/>
        <v>92</v>
      </c>
      <c r="J16" s="17">
        <f t="shared" si="3"/>
        <v>306</v>
      </c>
      <c r="K16" s="17">
        <f t="shared" si="4"/>
        <v>33</v>
      </c>
      <c r="L16" s="18">
        <v>6000000</v>
      </c>
      <c r="M16" s="16" t="s">
        <v>101</v>
      </c>
      <c r="U16" s="125" t="s">
        <v>102</v>
      </c>
      <c r="V16" s="124" t="s">
        <v>103</v>
      </c>
    </row>
    <row r="17" spans="1:31" s="29" customFormat="1" x14ac:dyDescent="0.2">
      <c r="B17" s="29">
        <v>2011</v>
      </c>
      <c r="C17" s="29">
        <v>1</v>
      </c>
      <c r="D17" s="30">
        <v>275000000</v>
      </c>
      <c r="F17" s="15">
        <v>40508</v>
      </c>
      <c r="G17" s="16">
        <f t="shared" si="0"/>
        <v>2010</v>
      </c>
      <c r="H17" s="16">
        <f t="shared" si="1"/>
        <v>4</v>
      </c>
      <c r="I17" s="16">
        <f t="shared" si="2"/>
        <v>92</v>
      </c>
      <c r="J17" s="17">
        <f t="shared" si="3"/>
        <v>330</v>
      </c>
      <c r="K17" s="17">
        <f t="shared" si="4"/>
        <v>57</v>
      </c>
      <c r="L17" s="18">
        <v>35000000</v>
      </c>
      <c r="M17" s="16" t="s">
        <v>104</v>
      </c>
      <c r="U17" s="125" t="s">
        <v>105</v>
      </c>
      <c r="V17" s="124" t="s">
        <v>106</v>
      </c>
    </row>
    <row r="18" spans="1:31" s="29" customFormat="1" x14ac:dyDescent="0.2">
      <c r="A18" s="36"/>
      <c r="B18" s="29">
        <v>2011</v>
      </c>
      <c r="C18" s="29">
        <v>2</v>
      </c>
      <c r="D18" s="30">
        <v>266000000</v>
      </c>
      <c r="F18" s="31">
        <v>40690</v>
      </c>
      <c r="G18" s="29">
        <f t="shared" si="0"/>
        <v>2011</v>
      </c>
      <c r="H18" s="29">
        <f t="shared" si="1"/>
        <v>2</v>
      </c>
      <c r="I18" s="29">
        <f t="shared" si="2"/>
        <v>91</v>
      </c>
      <c r="J18" s="32">
        <f t="shared" si="3"/>
        <v>147</v>
      </c>
      <c r="K18" s="32">
        <f t="shared" si="4"/>
        <v>57</v>
      </c>
      <c r="L18" s="30">
        <v>7000000</v>
      </c>
      <c r="M18" s="29" t="s">
        <v>107</v>
      </c>
      <c r="U18" s="126"/>
      <c r="V18" s="124"/>
    </row>
    <row r="19" spans="1:31" s="29" customFormat="1" x14ac:dyDescent="0.2">
      <c r="A19" s="36"/>
      <c r="B19" s="29">
        <v>2011</v>
      </c>
      <c r="C19" s="29">
        <v>3</v>
      </c>
      <c r="D19" s="30">
        <v>293000000</v>
      </c>
      <c r="F19" s="31">
        <v>40808</v>
      </c>
      <c r="G19" s="29">
        <f t="shared" si="0"/>
        <v>2011</v>
      </c>
      <c r="H19" s="29">
        <f t="shared" si="1"/>
        <v>3</v>
      </c>
      <c r="I19" s="29">
        <f t="shared" si="2"/>
        <v>92</v>
      </c>
      <c r="J19" s="32">
        <f t="shared" si="3"/>
        <v>265</v>
      </c>
      <c r="K19" s="32">
        <f t="shared" si="4"/>
        <v>84</v>
      </c>
      <c r="L19" s="30">
        <v>25000000</v>
      </c>
      <c r="M19" s="29" t="s">
        <v>108</v>
      </c>
      <c r="U19" s="123"/>
      <c r="V19" s="124"/>
    </row>
    <row r="20" spans="1:31" s="29" customFormat="1" ht="12.75" customHeight="1" x14ac:dyDescent="0.2">
      <c r="A20" s="36"/>
      <c r="B20" s="29">
        <v>2011</v>
      </c>
      <c r="C20" s="29">
        <v>4</v>
      </c>
      <c r="D20" s="30">
        <v>290000000</v>
      </c>
      <c r="F20" s="31">
        <v>40855</v>
      </c>
      <c r="G20" s="29">
        <f t="shared" si="0"/>
        <v>2011</v>
      </c>
      <c r="H20" s="29">
        <f t="shared" si="1"/>
        <v>4</v>
      </c>
      <c r="I20" s="29">
        <f t="shared" si="2"/>
        <v>92</v>
      </c>
      <c r="J20" s="32">
        <f t="shared" si="3"/>
        <v>312</v>
      </c>
      <c r="K20" s="32">
        <f t="shared" si="4"/>
        <v>39</v>
      </c>
      <c r="L20" s="30">
        <v>7000000</v>
      </c>
      <c r="M20" s="29" t="s">
        <v>109</v>
      </c>
      <c r="U20" s="182" t="s">
        <v>110</v>
      </c>
      <c r="V20" s="183"/>
    </row>
    <row r="21" spans="1:31" s="29" customFormat="1" x14ac:dyDescent="0.2">
      <c r="B21" s="29">
        <v>2012</v>
      </c>
      <c r="C21" s="29">
        <v>1</v>
      </c>
      <c r="D21" s="30">
        <v>295000000</v>
      </c>
      <c r="F21" s="31">
        <v>40939</v>
      </c>
      <c r="G21" s="29">
        <f t="shared" si="0"/>
        <v>2012</v>
      </c>
      <c r="H21" s="29">
        <f t="shared" si="1"/>
        <v>1</v>
      </c>
      <c r="I21" s="29">
        <f t="shared" si="2"/>
        <v>91</v>
      </c>
      <c r="J21" s="32">
        <f t="shared" si="3"/>
        <v>31</v>
      </c>
      <c r="K21" s="32">
        <f t="shared" si="4"/>
        <v>31</v>
      </c>
      <c r="L21" s="30">
        <v>2000000</v>
      </c>
      <c r="M21" s="29" t="s">
        <v>111</v>
      </c>
      <c r="U21" s="182"/>
      <c r="V21" s="183"/>
    </row>
    <row r="22" spans="1:31" s="29" customFormat="1" x14ac:dyDescent="0.2">
      <c r="A22" s="36"/>
      <c r="B22" s="29">
        <v>2012</v>
      </c>
      <c r="C22" s="29">
        <v>2</v>
      </c>
      <c r="D22" s="30">
        <v>325000000</v>
      </c>
      <c r="F22" s="31">
        <v>41057</v>
      </c>
      <c r="G22" s="29">
        <f t="shared" si="0"/>
        <v>2012</v>
      </c>
      <c r="H22" s="29">
        <f t="shared" si="1"/>
        <v>2</v>
      </c>
      <c r="I22" s="29">
        <f t="shared" si="2"/>
        <v>91</v>
      </c>
      <c r="J22" s="32">
        <f t="shared" si="3"/>
        <v>149</v>
      </c>
      <c r="K22" s="32">
        <f t="shared" si="4"/>
        <v>58</v>
      </c>
      <c r="L22" s="30">
        <v>7000000</v>
      </c>
      <c r="M22" s="29" t="s">
        <v>112</v>
      </c>
      <c r="U22" s="184"/>
      <c r="V22" s="185"/>
    </row>
    <row r="23" spans="1:31" s="29" customFormat="1" x14ac:dyDescent="0.2">
      <c r="A23" s="36"/>
      <c r="B23" s="29">
        <v>2012</v>
      </c>
      <c r="C23" s="29">
        <v>3</v>
      </c>
      <c r="D23" s="30">
        <v>326000000</v>
      </c>
      <c r="F23" s="31">
        <v>41059</v>
      </c>
      <c r="G23" s="29">
        <f t="shared" si="0"/>
        <v>2012</v>
      </c>
      <c r="H23" s="29">
        <f t="shared" si="1"/>
        <v>2</v>
      </c>
      <c r="I23" s="29">
        <f t="shared" si="2"/>
        <v>91</v>
      </c>
      <c r="J23" s="32">
        <f t="shared" si="3"/>
        <v>151</v>
      </c>
      <c r="K23" s="32">
        <f t="shared" si="4"/>
        <v>60</v>
      </c>
      <c r="L23" s="30">
        <v>23000000</v>
      </c>
      <c r="M23" s="29" t="s">
        <v>113</v>
      </c>
    </row>
    <row r="24" spans="1:31" s="29" customFormat="1" x14ac:dyDescent="0.2">
      <c r="A24" s="36"/>
      <c r="B24" s="29">
        <v>2012</v>
      </c>
      <c r="C24" s="29">
        <v>4</v>
      </c>
      <c r="D24" s="30">
        <v>320000000</v>
      </c>
      <c r="F24" s="31">
        <v>41219</v>
      </c>
      <c r="G24" s="29">
        <f t="shared" si="0"/>
        <v>2012</v>
      </c>
      <c r="H24" s="29">
        <f t="shared" si="1"/>
        <v>4</v>
      </c>
      <c r="I24" s="29">
        <f t="shared" si="2"/>
        <v>92</v>
      </c>
      <c r="J24" s="32">
        <f t="shared" si="3"/>
        <v>311</v>
      </c>
      <c r="K24" s="32">
        <f t="shared" si="4"/>
        <v>37</v>
      </c>
      <c r="L24" s="30">
        <v>8000000</v>
      </c>
      <c r="M24" s="29" t="s">
        <v>114</v>
      </c>
    </row>
    <row r="25" spans="1:31" x14ac:dyDescent="0.2">
      <c r="B25" s="10"/>
    </row>
    <row r="26" spans="1:31" x14ac:dyDescent="0.2">
      <c r="B26" s="10"/>
    </row>
    <row r="27" spans="1:31" x14ac:dyDescent="0.2">
      <c r="B27" s="10"/>
    </row>
    <row r="28" spans="1:31" x14ac:dyDescent="0.2">
      <c r="B28" s="21" t="s">
        <v>115</v>
      </c>
      <c r="C28" s="22" t="s">
        <v>165</v>
      </c>
      <c r="D28" s="20"/>
      <c r="E28" s="20"/>
      <c r="F28" s="20"/>
      <c r="G28" s="12"/>
      <c r="H28" s="22" t="s">
        <v>166</v>
      </c>
      <c r="I28" s="12"/>
      <c r="J28" s="20"/>
      <c r="K28" s="20"/>
      <c r="L28" s="20"/>
      <c r="M28" s="12"/>
      <c r="N28" s="12"/>
      <c r="O28" s="12"/>
      <c r="P28" s="22" t="s">
        <v>167</v>
      </c>
      <c r="Q28" s="12"/>
      <c r="R28" s="20"/>
      <c r="S28" s="20"/>
      <c r="T28" s="20"/>
      <c r="U28" s="12"/>
      <c r="V28" s="12"/>
      <c r="W28" s="12"/>
      <c r="X28" s="22" t="s">
        <v>168</v>
      </c>
      <c r="Y28" s="12"/>
      <c r="Z28" s="20"/>
      <c r="AA28" s="20"/>
      <c r="AB28" s="20"/>
      <c r="AC28" s="12"/>
      <c r="AD28" s="12"/>
      <c r="AE28" s="12"/>
    </row>
    <row r="29" spans="1:31" x14ac:dyDescent="0.2">
      <c r="B29" s="19"/>
      <c r="C29" s="20"/>
      <c r="D29" s="20"/>
      <c r="E29" s="20"/>
      <c r="F29" s="20"/>
      <c r="G29" s="12"/>
      <c r="H29" s="19"/>
      <c r="I29" s="20"/>
      <c r="J29" s="20"/>
      <c r="K29" s="20"/>
      <c r="L29" s="20"/>
      <c r="M29" s="12"/>
      <c r="N29" s="12"/>
      <c r="O29" s="12"/>
      <c r="P29" s="19"/>
      <c r="Q29" s="20"/>
      <c r="R29" s="20"/>
      <c r="S29" s="20"/>
      <c r="T29" s="20"/>
      <c r="U29" s="12"/>
      <c r="V29" s="12"/>
      <c r="W29" s="12"/>
      <c r="X29" s="19"/>
      <c r="Y29" s="20"/>
      <c r="Z29" s="20"/>
      <c r="AA29" s="20"/>
      <c r="AB29" s="20"/>
      <c r="AC29" s="12"/>
      <c r="AD29" s="12"/>
      <c r="AE29" s="12"/>
    </row>
    <row r="30" spans="1:31" x14ac:dyDescent="0.2">
      <c r="B30" s="19" t="s">
        <v>169</v>
      </c>
      <c r="C30" s="20" t="s">
        <v>117</v>
      </c>
      <c r="D30" s="33" t="s">
        <v>118</v>
      </c>
      <c r="E30" s="33"/>
      <c r="F30" s="33"/>
      <c r="G30" s="12"/>
      <c r="H30" s="19" t="s">
        <v>170</v>
      </c>
      <c r="I30" s="20" t="s">
        <v>117</v>
      </c>
      <c r="J30" s="33" t="s">
        <v>118</v>
      </c>
      <c r="K30" s="33"/>
      <c r="L30" s="33"/>
      <c r="M30" s="12"/>
      <c r="N30" s="12"/>
      <c r="O30" s="12"/>
      <c r="P30" s="19" t="s">
        <v>171</v>
      </c>
      <c r="Q30" s="20" t="s">
        <v>117</v>
      </c>
      <c r="R30" s="33" t="s">
        <v>118</v>
      </c>
      <c r="S30" s="33"/>
      <c r="T30" s="33"/>
      <c r="U30" s="12"/>
      <c r="V30" s="12"/>
      <c r="W30" s="12"/>
      <c r="X30" s="19" t="s">
        <v>172</v>
      </c>
      <c r="Y30" s="20" t="s">
        <v>117</v>
      </c>
      <c r="Z30" s="33" t="s">
        <v>118</v>
      </c>
      <c r="AA30" s="33"/>
      <c r="AB30" s="33"/>
      <c r="AC30" s="12"/>
      <c r="AD30" s="12"/>
      <c r="AE30" s="12"/>
    </row>
    <row r="31" spans="1:31" x14ac:dyDescent="0.2">
      <c r="B31" s="19"/>
      <c r="C31" s="20"/>
      <c r="D31" s="12"/>
      <c r="E31" s="12" t="s">
        <v>119</v>
      </c>
      <c r="F31" s="12"/>
      <c r="G31" s="12"/>
      <c r="H31" s="19"/>
      <c r="I31" s="20"/>
      <c r="J31" s="12"/>
      <c r="K31" s="12" t="s">
        <v>119</v>
      </c>
      <c r="L31" s="12"/>
      <c r="M31" s="12"/>
      <c r="N31" s="12"/>
      <c r="O31" s="12"/>
      <c r="P31" s="19"/>
      <c r="Q31" s="20"/>
      <c r="R31" s="12"/>
      <c r="S31" s="12" t="s">
        <v>119</v>
      </c>
      <c r="T31" s="12"/>
      <c r="U31" s="12"/>
      <c r="V31" s="12"/>
      <c r="W31" s="12"/>
      <c r="X31" s="19"/>
      <c r="Y31" s="20"/>
      <c r="Z31" s="12"/>
      <c r="AA31" s="12" t="s">
        <v>119</v>
      </c>
      <c r="AB31" s="12"/>
      <c r="AC31" s="12"/>
      <c r="AD31" s="12"/>
      <c r="AE31" s="12"/>
    </row>
    <row r="32" spans="1:31" x14ac:dyDescent="0.2">
      <c r="B32" s="19"/>
      <c r="C32" s="20"/>
      <c r="D32" s="12"/>
      <c r="E32" s="12"/>
      <c r="F32" s="12"/>
      <c r="G32" s="12"/>
      <c r="H32" s="19"/>
      <c r="I32" s="20"/>
      <c r="J32" s="12"/>
      <c r="K32" s="12"/>
      <c r="L32" s="12"/>
      <c r="M32" s="12"/>
      <c r="N32" s="12"/>
      <c r="O32" s="12"/>
      <c r="P32" s="19"/>
      <c r="Q32" s="20"/>
      <c r="R32" s="12"/>
      <c r="S32" s="12"/>
      <c r="T32" s="12"/>
      <c r="U32" s="12"/>
      <c r="V32" s="12"/>
      <c r="W32" s="12"/>
      <c r="X32" s="19"/>
      <c r="Y32" s="20"/>
      <c r="Z32" s="12"/>
      <c r="AA32" s="12"/>
      <c r="AB32" s="12"/>
      <c r="AC32" s="12"/>
      <c r="AD32" s="12"/>
      <c r="AE32" s="12"/>
    </row>
    <row r="33" spans="2:31" x14ac:dyDescent="0.2">
      <c r="B33" s="19"/>
      <c r="C33" s="20" t="s">
        <v>117</v>
      </c>
      <c r="D33" s="23" t="str">
        <f>_xlfn.CONCAT(TEXT($D$13,"0,0"), " - ",TEXT($D$12,"0,0"), " - ",TEXT($L$12,"0,0") )</f>
        <v>175000000,0 - 150000000,0 - 26000000,0</v>
      </c>
      <c r="E33" s="12"/>
      <c r="F33" s="23"/>
      <c r="G33" s="12"/>
      <c r="H33" s="19"/>
      <c r="I33" s="20" t="s">
        <v>117</v>
      </c>
      <c r="J33" s="23" t="str">
        <f>_xlfn.CONCAT(TEXT($D$14,"0,0"), " - ",TEXT($D$13,"0,0"), " - ",TEXT($L$13,"0,0")," - ",TEXT($L$14,"0,0")," + ",TEXT($L$15,"0,0"))</f>
        <v>235000000,0 - 175000000,0 - 39000000,0 - 25000000,0 + 6000000,0</v>
      </c>
      <c r="K33" s="12"/>
      <c r="L33" s="23"/>
      <c r="M33" s="12"/>
      <c r="N33" s="12"/>
      <c r="O33" s="12"/>
      <c r="P33" s="19"/>
      <c r="Q33" s="20" t="s">
        <v>117</v>
      </c>
      <c r="R33" s="23" t="str">
        <f>_xlfn.CONCAT(TEXT($D$15,"0,0"), " - ",TEXT($D$14,"0,0"))</f>
        <v>236000000,0 - 235000000,0</v>
      </c>
      <c r="S33" s="12"/>
      <c r="T33" s="23"/>
      <c r="U33" s="12"/>
      <c r="V33" s="12"/>
      <c r="W33" s="12"/>
      <c r="X33" s="19"/>
      <c r="Y33" s="20" t="s">
        <v>117</v>
      </c>
      <c r="Z33" s="23" t="str">
        <f>_xlfn.CONCAT(TEXT($D$16,"0,0"), " - ",TEXT($D$15,"0,0"),  " - ",TEXT($L$17,"0,0")," + ",TEXT($L$16,"0,0"))</f>
        <v>271000000,0 - 236000000,0 - 35000000,0 + 6000000,0</v>
      </c>
      <c r="AA33" s="12"/>
      <c r="AB33" s="23"/>
      <c r="AC33" s="12"/>
      <c r="AD33" s="12"/>
      <c r="AE33" s="12"/>
    </row>
    <row r="34" spans="2:31" x14ac:dyDescent="0.2">
      <c r="B34" s="19"/>
      <c r="C34" s="20"/>
      <c r="D34" s="20" t="str">
        <f>_xlfn.CONCAT(TEXT($D$12,"0,0")," + (",TEXT($L$12,"0,0")," * ","(",TEXT($I$12,"0,0")," - ",TEXT($K$12,"0,0"),") / ",TEXT($I$12,"0,0"),")")</f>
        <v>150000000,0 + (26000000,0 * (90,0 - 42,0) / 90,0)</v>
      </c>
      <c r="E34" s="20"/>
      <c r="F34" s="103"/>
      <c r="G34" s="12"/>
      <c r="H34" s="19"/>
      <c r="I34" s="20"/>
      <c r="J34" s="20" t="str">
        <f>_xlfn.CONCAT(TEXT($D$13,"0,0"),  " + (",TEXT($L$13,"0,0"), " * ","(",TEXT($I$13,"0,0")," - ",TEXT($K$13,"0,0"),") / ",TEXT($I$13,"0,0"),")", " + (",TEXT($L$14,"0,0"), " * ","(",TEXT($I$14,"0,0")," - ",TEXT($K$14,"0,0"),") / ",TEXT($I$14,"0,0"),")"," - (",TEXT($L$15,"0,0"), " * ","(",TEXT($I$15,"0,0")," - ",TEXT($K$15,"0,0"),") / ",TEXT($I$15,"0,0"),")")</f>
        <v>175000000,0 + (39000000,0 * (91,0 - 37,0) / 91,0) + (25000000,0 * (91,0 - 37,0) / 91,0) - (6000000,0 * (91,0 - 57,0) / 91,0)</v>
      </c>
      <c r="K34" s="20"/>
      <c r="L34" s="20"/>
      <c r="M34" s="12"/>
      <c r="N34" s="12"/>
      <c r="O34" s="12"/>
      <c r="P34" s="19"/>
      <c r="Q34" s="20"/>
      <c r="R34" s="62" t="str">
        <f>_xlfn.CONCAT(TEXT($D$14,"0,0"))</f>
        <v>235000000,0</v>
      </c>
      <c r="S34" s="20"/>
      <c r="T34" s="20"/>
      <c r="U34" s="12"/>
      <c r="V34" s="12"/>
      <c r="W34" s="12"/>
      <c r="X34" s="19"/>
      <c r="Y34" s="20"/>
      <c r="Z34" s="20" t="str">
        <f>_xlfn.CONCAT(TEXT($D$15,"0,0"), " + (",TEXT($L$17,"0,0"), " * ","(",TEXT($I$17,"0,0")," - ",TEXT($K$17,"0,0"),") / ",TEXT($I$17,"0,0"),")"," - (",TEXT($L$16,"0,0"), " * ","(",TEXT($I$16,"0,0")," - ",TEXT($K$16,"0,0"),") / ",TEXT($I$16,"0,0"),")")</f>
        <v>236000000,0 + (35000000,0 * (92,0 - 57,0) / 92,0) - (6000000,0 * (92,0 - 33,0) / 92,0)</v>
      </c>
      <c r="AA34" s="20"/>
      <c r="AB34" s="20"/>
      <c r="AC34" s="12"/>
      <c r="AD34" s="12"/>
      <c r="AE34" s="12"/>
    </row>
    <row r="35" spans="2:31" x14ac:dyDescent="0.2">
      <c r="B35" s="19"/>
      <c r="C35" s="20"/>
      <c r="D35" s="20"/>
      <c r="E35" s="20"/>
      <c r="F35" s="26"/>
      <c r="G35" s="12"/>
      <c r="H35" s="19"/>
      <c r="I35" s="20"/>
      <c r="J35" s="20"/>
      <c r="K35" s="20"/>
      <c r="L35" s="20"/>
      <c r="M35" s="12"/>
      <c r="N35" s="12"/>
      <c r="O35" s="12"/>
      <c r="P35" s="19"/>
      <c r="Q35" s="20"/>
      <c r="R35" s="20"/>
      <c r="S35" s="20"/>
      <c r="T35" s="20"/>
      <c r="U35" s="12"/>
      <c r="V35" s="12"/>
      <c r="W35" s="12"/>
      <c r="X35" s="19"/>
      <c r="Y35" s="20"/>
      <c r="Z35" s="20"/>
      <c r="AA35" s="20"/>
      <c r="AB35" s="20"/>
      <c r="AC35" s="12"/>
      <c r="AD35" s="12"/>
      <c r="AE35" s="12"/>
    </row>
    <row r="36" spans="2:31" x14ac:dyDescent="0.2">
      <c r="B36" s="19"/>
      <c r="C36" s="20" t="s">
        <v>117</v>
      </c>
      <c r="D36" s="104">
        <f>$D$13 - $D$12 - $L$12</f>
        <v>-1000000</v>
      </c>
      <c r="E36" s="99"/>
      <c r="F36" s="99"/>
      <c r="G36" s="102"/>
      <c r="H36" s="99"/>
      <c r="I36" s="99" t="s">
        <v>117</v>
      </c>
      <c r="J36" s="104">
        <f>$D$14-$D$13-$L$13-$L$14+$L$15</f>
        <v>2000000</v>
      </c>
      <c r="K36" s="99"/>
      <c r="L36" s="99"/>
      <c r="M36" s="102"/>
      <c r="N36" s="102"/>
      <c r="O36" s="102"/>
      <c r="P36" s="99"/>
      <c r="Q36" s="99" t="s">
        <v>117</v>
      </c>
      <c r="R36" s="104">
        <f>$D$15 - $D$14</f>
        <v>1000000</v>
      </c>
      <c r="S36" s="99"/>
      <c r="T36" s="99"/>
      <c r="U36" s="102"/>
      <c r="V36" s="102"/>
      <c r="W36" s="102"/>
      <c r="X36" s="99"/>
      <c r="Y36" s="99" t="s">
        <v>117</v>
      </c>
      <c r="Z36" s="104">
        <f>$D$16 - $D$15 - $L$17 + $L$16</f>
        <v>6000000</v>
      </c>
      <c r="AA36" s="20"/>
      <c r="AB36" s="20"/>
      <c r="AC36" s="12"/>
      <c r="AD36" s="12"/>
      <c r="AE36" s="12"/>
    </row>
    <row r="37" spans="2:31" x14ac:dyDescent="0.2">
      <c r="B37" s="19"/>
      <c r="C37" s="20"/>
      <c r="D37" s="99">
        <f>$D$12 + ($L$12 * ($I$12 - $K$12) / $I$12)</f>
        <v>163866666.66666666</v>
      </c>
      <c r="E37" s="99"/>
      <c r="F37" s="99"/>
      <c r="G37" s="102"/>
      <c r="H37" s="99"/>
      <c r="I37" s="99"/>
      <c r="J37" s="99">
        <f>$D$13 + ($L$13 * ($I$13 - $K$13) / $I$13) + ($L$14 * ($I$14 - $K$14) / $I$14) - ($L$15 * ($I$15 - $K$15) / $I$15)</f>
        <v>210736263.73626375</v>
      </c>
      <c r="K37" s="99"/>
      <c r="L37" s="99"/>
      <c r="M37" s="102"/>
      <c r="N37" s="102"/>
      <c r="O37" s="102"/>
      <c r="P37" s="99"/>
      <c r="Q37" s="99"/>
      <c r="R37" s="99">
        <f>$D$14</f>
        <v>235000000</v>
      </c>
      <c r="S37" s="99"/>
      <c r="T37" s="99"/>
      <c r="U37" s="102"/>
      <c r="V37" s="102"/>
      <c r="W37" s="102"/>
      <c r="X37" s="99"/>
      <c r="Y37" s="99"/>
      <c r="Z37" s="99">
        <f>$D$15 + ($L$17 * ($I$17 - $K$17) / $I$17) - ($L$16 * ($I$16 - $K$16) / $I$16)</f>
        <v>245467391.30434781</v>
      </c>
      <c r="AA37" s="20"/>
      <c r="AB37" s="20"/>
      <c r="AC37" s="12"/>
      <c r="AD37" s="12"/>
      <c r="AE37" s="12"/>
    </row>
    <row r="38" spans="2:31" x14ac:dyDescent="0.2">
      <c r="B38" s="19"/>
      <c r="C38" s="20"/>
      <c r="D38" s="20"/>
      <c r="E38" s="20"/>
      <c r="F38" s="20"/>
      <c r="G38" s="12"/>
      <c r="H38" s="19"/>
      <c r="I38" s="20"/>
      <c r="J38" s="20"/>
      <c r="K38" s="20"/>
      <c r="L38" s="20"/>
      <c r="M38" s="12"/>
      <c r="N38" s="12"/>
      <c r="O38" s="12"/>
      <c r="P38" s="19"/>
      <c r="Q38" s="20"/>
      <c r="R38" s="20"/>
      <c r="S38" s="20"/>
      <c r="T38" s="20"/>
      <c r="U38" s="12"/>
      <c r="V38" s="12"/>
      <c r="W38" s="12"/>
      <c r="X38" s="19"/>
      <c r="Y38" s="20"/>
      <c r="Z38" s="20"/>
      <c r="AA38" s="20"/>
      <c r="AB38" s="20"/>
      <c r="AC38" s="12"/>
      <c r="AD38" s="12"/>
      <c r="AE38" s="12"/>
    </row>
    <row r="39" spans="2:31" x14ac:dyDescent="0.2">
      <c r="B39" s="26"/>
      <c r="C39" s="12" t="s">
        <v>117</v>
      </c>
      <c r="D39" s="25">
        <f>D36/D37</f>
        <v>-6.1025223759153787E-3</v>
      </c>
      <c r="E39" s="20"/>
      <c r="F39" s="20"/>
      <c r="G39" s="12"/>
      <c r="H39" s="26"/>
      <c r="I39" s="12" t="s">
        <v>117</v>
      </c>
      <c r="J39" s="25">
        <f>J36/J37</f>
        <v>9.4905355373624649E-3</v>
      </c>
      <c r="K39" s="20"/>
      <c r="L39" s="20"/>
      <c r="M39" s="12"/>
      <c r="N39" s="12"/>
      <c r="O39" s="12"/>
      <c r="P39" s="26"/>
      <c r="Q39" s="12" t="s">
        <v>117</v>
      </c>
      <c r="R39" s="25">
        <f>R36/R37</f>
        <v>4.2553191489361703E-3</v>
      </c>
      <c r="S39" s="20"/>
      <c r="T39" s="20"/>
      <c r="U39" s="12"/>
      <c r="V39" s="12"/>
      <c r="W39" s="12"/>
      <c r="X39" s="26"/>
      <c r="Y39" s="12" t="s">
        <v>117</v>
      </c>
      <c r="Z39" s="25">
        <f>Z36/Z37</f>
        <v>2.4443165212770668E-2</v>
      </c>
      <c r="AA39" s="20"/>
      <c r="AB39" s="20"/>
      <c r="AC39" s="12"/>
      <c r="AD39" s="12"/>
      <c r="AE39" s="12"/>
    </row>
    <row r="40" spans="2:31" x14ac:dyDescent="0.2">
      <c r="B40" s="26"/>
      <c r="C40" s="12"/>
      <c r="D40" s="25"/>
      <c r="E40" s="20"/>
      <c r="F40" s="20"/>
      <c r="G40" s="12"/>
      <c r="H40" s="26"/>
      <c r="I40" s="12"/>
      <c r="J40" s="25"/>
      <c r="K40" s="20"/>
      <c r="L40" s="20"/>
      <c r="M40" s="12"/>
      <c r="N40" s="12"/>
      <c r="O40" s="12"/>
      <c r="P40" s="26"/>
      <c r="Q40" s="12"/>
      <c r="R40" s="25"/>
      <c r="S40" s="20"/>
      <c r="T40" s="20"/>
      <c r="U40" s="12"/>
      <c r="V40" s="12"/>
      <c r="W40" s="12"/>
      <c r="X40" s="26"/>
      <c r="Y40" s="12"/>
      <c r="Z40" s="25"/>
      <c r="AA40" s="20"/>
      <c r="AB40" s="20"/>
      <c r="AC40" s="12"/>
      <c r="AD40" s="12"/>
      <c r="AE40" s="12"/>
    </row>
    <row r="41" spans="2:31" x14ac:dyDescent="0.2">
      <c r="B41" s="10"/>
    </row>
    <row r="42" spans="2:31" x14ac:dyDescent="0.2">
      <c r="B42" s="10"/>
    </row>
    <row r="43" spans="2:31" x14ac:dyDescent="0.2">
      <c r="B43" s="10"/>
    </row>
    <row r="44" spans="2:31" x14ac:dyDescent="0.2">
      <c r="B44" s="21" t="s">
        <v>115</v>
      </c>
      <c r="C44" s="22" t="s">
        <v>173</v>
      </c>
      <c r="D44" s="20"/>
      <c r="E44" s="20"/>
      <c r="F44" s="20"/>
      <c r="G44" s="12"/>
      <c r="H44" s="22" t="s">
        <v>174</v>
      </c>
      <c r="I44" s="12"/>
      <c r="J44" s="20"/>
      <c r="K44" s="20"/>
      <c r="L44" s="20"/>
      <c r="M44" s="12"/>
      <c r="N44" s="12"/>
      <c r="O44" s="12"/>
      <c r="P44" s="22" t="s">
        <v>175</v>
      </c>
      <c r="Q44" s="12"/>
      <c r="R44" s="20"/>
      <c r="S44" s="20"/>
      <c r="T44" s="20"/>
      <c r="U44" s="12"/>
      <c r="V44" s="12"/>
      <c r="W44" s="12"/>
      <c r="X44" s="22" t="s">
        <v>176</v>
      </c>
      <c r="Y44" s="12"/>
      <c r="Z44" s="20"/>
      <c r="AA44" s="20"/>
      <c r="AB44" s="20"/>
      <c r="AC44" s="12"/>
      <c r="AD44" s="12"/>
      <c r="AE44" s="12"/>
    </row>
    <row r="45" spans="2:31" x14ac:dyDescent="0.2">
      <c r="B45" s="19"/>
      <c r="C45" s="20"/>
      <c r="D45" s="20"/>
      <c r="E45" s="20"/>
      <c r="F45" s="20"/>
      <c r="G45" s="12"/>
      <c r="H45" s="19"/>
      <c r="I45" s="20"/>
      <c r="J45" s="20"/>
      <c r="K45" s="20"/>
      <c r="L45" s="20"/>
      <c r="M45" s="12"/>
      <c r="N45" s="12"/>
      <c r="O45" s="12"/>
      <c r="P45" s="19"/>
      <c r="Q45" s="20"/>
      <c r="R45" s="20"/>
      <c r="S45" s="20"/>
      <c r="T45" s="20"/>
      <c r="U45" s="12"/>
      <c r="V45" s="12"/>
      <c r="W45" s="12"/>
      <c r="X45" s="19"/>
      <c r="Y45" s="20"/>
      <c r="Z45" s="20"/>
      <c r="AA45" s="20"/>
      <c r="AB45" s="20"/>
      <c r="AC45" s="12"/>
      <c r="AD45" s="12"/>
      <c r="AE45" s="12"/>
    </row>
    <row r="46" spans="2:31" x14ac:dyDescent="0.2">
      <c r="B46" s="19" t="s">
        <v>177</v>
      </c>
      <c r="C46" s="20" t="s">
        <v>117</v>
      </c>
      <c r="D46" s="33" t="s">
        <v>121</v>
      </c>
      <c r="E46" s="33"/>
      <c r="F46" s="33"/>
      <c r="G46" s="12"/>
      <c r="H46" s="19" t="s">
        <v>178</v>
      </c>
      <c r="I46" s="20" t="s">
        <v>117</v>
      </c>
      <c r="J46" s="33" t="s">
        <v>121</v>
      </c>
      <c r="K46" s="33"/>
      <c r="L46" s="33"/>
      <c r="M46" s="12"/>
      <c r="N46" s="12"/>
      <c r="O46" s="12"/>
      <c r="P46" s="19" t="s">
        <v>179</v>
      </c>
      <c r="Q46" s="20" t="s">
        <v>117</v>
      </c>
      <c r="R46" s="33" t="s">
        <v>121</v>
      </c>
      <c r="S46" s="33"/>
      <c r="T46" s="33"/>
      <c r="U46" s="12"/>
      <c r="V46" s="12"/>
      <c r="W46" s="12"/>
      <c r="X46" s="19" t="s">
        <v>180</v>
      </c>
      <c r="Y46" s="20" t="s">
        <v>117</v>
      </c>
      <c r="Z46" s="33" t="s">
        <v>121</v>
      </c>
      <c r="AA46" s="33"/>
      <c r="AB46" s="33"/>
      <c r="AC46" s="12"/>
      <c r="AD46" s="12"/>
      <c r="AE46" s="12"/>
    </row>
    <row r="47" spans="2:31" x14ac:dyDescent="0.2">
      <c r="B47" s="19"/>
      <c r="C47" s="20"/>
      <c r="D47" s="12" t="s">
        <v>119</v>
      </c>
      <c r="E47" s="12"/>
      <c r="F47" s="12"/>
      <c r="G47" s="12"/>
      <c r="H47" s="19"/>
      <c r="I47" s="20"/>
      <c r="J47" s="12" t="s">
        <v>119</v>
      </c>
      <c r="K47" s="12"/>
      <c r="L47" s="12"/>
      <c r="M47" s="12"/>
      <c r="N47" s="12"/>
      <c r="O47" s="12"/>
      <c r="P47" s="19"/>
      <c r="Q47" s="20"/>
      <c r="R47" s="12" t="s">
        <v>119</v>
      </c>
      <c r="S47" s="12"/>
      <c r="T47" s="12"/>
      <c r="U47" s="12"/>
      <c r="V47" s="12"/>
      <c r="W47" s="12"/>
      <c r="X47" s="19"/>
      <c r="Y47" s="20"/>
      <c r="Z47" s="12" t="s">
        <v>119</v>
      </c>
      <c r="AA47" s="12"/>
      <c r="AB47" s="12"/>
      <c r="AC47" s="12"/>
      <c r="AD47" s="12"/>
      <c r="AE47" s="12"/>
    </row>
    <row r="48" spans="2:31" x14ac:dyDescent="0.2">
      <c r="B48" s="19"/>
      <c r="C48" s="20"/>
      <c r="D48" s="12"/>
      <c r="E48" s="12"/>
      <c r="F48" s="12"/>
      <c r="G48" s="12"/>
      <c r="H48" s="19"/>
      <c r="I48" s="20"/>
      <c r="J48" s="12"/>
      <c r="K48" s="12"/>
      <c r="L48" s="12"/>
      <c r="M48" s="12"/>
      <c r="N48" s="12"/>
      <c r="O48" s="12"/>
      <c r="P48" s="19"/>
      <c r="Q48" s="20"/>
      <c r="R48" s="12"/>
      <c r="S48" s="12"/>
      <c r="T48" s="12"/>
      <c r="U48" s="12"/>
      <c r="V48" s="12"/>
      <c r="W48" s="12"/>
      <c r="X48" s="19"/>
      <c r="Y48" s="20"/>
      <c r="Z48" s="12"/>
      <c r="AA48" s="12"/>
      <c r="AB48" s="12"/>
      <c r="AC48" s="12"/>
      <c r="AD48" s="12"/>
      <c r="AE48" s="12"/>
    </row>
    <row r="49" spans="2:31" x14ac:dyDescent="0.2">
      <c r="B49" s="19"/>
      <c r="C49" s="20" t="s">
        <v>117</v>
      </c>
      <c r="D49" s="23" t="str">
        <f>_xlfn.CONCAT(TEXT($D$13,"0,0"), " - ",TEXT($D$12,"0,0"), " - ",TEXT($L$12,"0,0") )</f>
        <v>175000000,0 - 150000000,0 - 26000000,0</v>
      </c>
      <c r="E49" s="12"/>
      <c r="F49" s="23"/>
      <c r="G49" s="12"/>
      <c r="H49" s="19"/>
      <c r="I49" s="20" t="s">
        <v>117</v>
      </c>
      <c r="J49" s="23" t="str">
        <f>_xlfn.CONCAT(TEXT($D$14,"0,0"), " - ",TEXT($D$13,"0,0"), " - ",TEXT($L$13,"0,0")," - ",TEXT($L$14,"0,0"))</f>
        <v>235000000,0 - 175000000,0 - 39000000,0 - 25000000,0</v>
      </c>
      <c r="K49" s="12"/>
      <c r="L49" s="23"/>
      <c r="M49" s="12"/>
      <c r="N49" s="12"/>
      <c r="O49" s="12"/>
      <c r="P49" s="19"/>
      <c r="Q49" s="20" t="s">
        <v>117</v>
      </c>
      <c r="R49" s="23" t="str">
        <f>_xlfn.CONCAT(TEXT($D$15,"0,0"), " - ",TEXT($D$14,"0,0"))</f>
        <v>236000000,0 - 235000000,0</v>
      </c>
      <c r="S49" s="12"/>
      <c r="T49" s="23"/>
      <c r="U49" s="12"/>
      <c r="V49" s="12"/>
      <c r="W49" s="12"/>
      <c r="X49" s="19"/>
      <c r="Y49" s="20" t="s">
        <v>117</v>
      </c>
      <c r="Z49" s="23" t="str">
        <f>_xlfn.CONCAT(TEXT($D$16,"0,0"), " - ",TEXT($D$15,"0,0"),  " - ",TEXT($L$17,"0,0"))</f>
        <v>271000000,0 - 236000000,0 - 35000000,0</v>
      </c>
      <c r="AA49" s="12"/>
      <c r="AB49" s="23"/>
      <c r="AC49" s="12"/>
      <c r="AD49" s="12"/>
      <c r="AE49" s="12"/>
    </row>
    <row r="50" spans="2:31" x14ac:dyDescent="0.2">
      <c r="B50" s="19"/>
      <c r="C50" s="20"/>
      <c r="D50" s="20" t="str">
        <f>_xlfn.CONCAT(TEXT($D$12,"0,0")," + (",TEXT($L$12,"0,0")," * ","(",TEXT($I$12,"0,0")," - ",TEXT($K$12,"0,0"),") / ",TEXT($I$12,"0,0"),")")</f>
        <v>150000000,0 + (26000000,0 * (90,0 - 42,0) / 90,0)</v>
      </c>
      <c r="E50" s="20"/>
      <c r="F50" s="20"/>
      <c r="G50" s="12"/>
      <c r="H50" s="19"/>
      <c r="I50" s="20"/>
      <c r="J50" s="20" t="str">
        <f>_xlfn.CONCAT(TEXT($D$13,"0,0"),  " + (",TEXT($L$13,"0,0"), " * ","(",TEXT($I$13,"0,0")," - ",TEXT($K$13,"0,0"),") / ",TEXT($I$13,"0,0"),")", " + (",TEXT($L$14,"0,0"), " * ","(",TEXT($I$14,"0,0")," - ",TEXT($K$14,"0,0"),") / ",TEXT($I$14,"0,0"),")"," - (",TEXT($L$15,"0,0"), " * ","(",TEXT($I$15,"0,0")," - ",TEXT($K$15,"0,0"),") / ",TEXT($I$15,"0,0"),")")</f>
        <v>175000000,0 + (39000000,0 * (91,0 - 37,0) / 91,0) + (25000000,0 * (91,0 - 37,0) / 91,0) - (6000000,0 * (91,0 - 57,0) / 91,0)</v>
      </c>
      <c r="K50" s="20"/>
      <c r="L50" s="20"/>
      <c r="M50" s="12"/>
      <c r="N50" s="12"/>
      <c r="O50" s="12"/>
      <c r="P50" s="19"/>
      <c r="Q50" s="20"/>
      <c r="R50" s="62" t="str">
        <f>_xlfn.CONCAT(TEXT($D$14,"0,0"))</f>
        <v>235000000,0</v>
      </c>
      <c r="S50" s="20"/>
      <c r="T50" s="20"/>
      <c r="U50" s="12"/>
      <c r="V50" s="12"/>
      <c r="W50" s="12"/>
      <c r="X50" s="19"/>
      <c r="Y50" s="20"/>
      <c r="Z50" s="20" t="str">
        <f>_xlfn.CONCAT(TEXT($D$15,"0,0"), " + (",TEXT($L$17,"0,0"), " * ","(",TEXT($I$17,"0,0")," - ",TEXT($K$17,"0,0"),") / ",TEXT($I$17,"0,0"),")"," - (",TEXT($L$16,"0,0"), " * ","(",TEXT($I$16,"0,0")," - ",TEXT($K$16,"0,0"),") / ",TEXT($I$16,"0,0"),")")</f>
        <v>236000000,0 + (35000000,0 * (92,0 - 57,0) / 92,0) - (6000000,0 * (92,0 - 33,0) / 92,0)</v>
      </c>
      <c r="AA50" s="20"/>
      <c r="AB50" s="20"/>
      <c r="AC50" s="12"/>
      <c r="AD50" s="12"/>
      <c r="AE50" s="12"/>
    </row>
    <row r="51" spans="2:31" x14ac:dyDescent="0.2">
      <c r="B51" s="19"/>
      <c r="C51" s="20"/>
      <c r="D51" s="20"/>
      <c r="E51" s="20"/>
      <c r="F51" s="20"/>
      <c r="G51" s="12"/>
      <c r="H51" s="19"/>
      <c r="I51" s="20"/>
      <c r="J51" s="20"/>
      <c r="K51" s="20"/>
      <c r="L51" s="20"/>
      <c r="M51" s="12"/>
      <c r="N51" s="12"/>
      <c r="O51" s="12"/>
      <c r="P51" s="19"/>
      <c r="Q51" s="20"/>
      <c r="R51" s="20"/>
      <c r="S51" s="20"/>
      <c r="T51" s="20"/>
      <c r="U51" s="12"/>
      <c r="V51" s="12"/>
      <c r="W51" s="12"/>
      <c r="X51" s="19"/>
      <c r="Y51" s="20"/>
      <c r="Z51" s="20"/>
      <c r="AA51" s="20"/>
      <c r="AB51" s="20"/>
      <c r="AC51" s="12"/>
      <c r="AD51" s="12"/>
      <c r="AE51" s="12"/>
    </row>
    <row r="52" spans="2:31" x14ac:dyDescent="0.2">
      <c r="B52" s="19"/>
      <c r="C52" s="20" t="s">
        <v>117</v>
      </c>
      <c r="D52" s="104">
        <f>$D$13 - $D$12 - $L$12</f>
        <v>-1000000</v>
      </c>
      <c r="E52" s="99"/>
      <c r="F52" s="99"/>
      <c r="G52" s="102"/>
      <c r="H52" s="99"/>
      <c r="I52" s="99" t="s">
        <v>117</v>
      </c>
      <c r="J52" s="104">
        <f>$D$14-$D$13-$L$13-$L$14</f>
        <v>-4000000</v>
      </c>
      <c r="K52" s="99"/>
      <c r="L52" s="99"/>
      <c r="M52" s="102"/>
      <c r="N52" s="102"/>
      <c r="O52" s="102"/>
      <c r="P52" s="99"/>
      <c r="Q52" s="99" t="s">
        <v>117</v>
      </c>
      <c r="R52" s="104">
        <f>$D$15 - $D$14</f>
        <v>1000000</v>
      </c>
      <c r="S52" s="99"/>
      <c r="T52" s="99"/>
      <c r="U52" s="102"/>
      <c r="V52" s="102"/>
      <c r="W52" s="102"/>
      <c r="X52" s="99"/>
      <c r="Y52" s="99" t="s">
        <v>117</v>
      </c>
      <c r="Z52" s="104">
        <f>$D$16 - $D$15 - $L$17</f>
        <v>0</v>
      </c>
      <c r="AA52" s="20"/>
      <c r="AB52" s="20"/>
      <c r="AC52" s="12"/>
      <c r="AD52" s="12"/>
      <c r="AE52" s="12"/>
    </row>
    <row r="53" spans="2:31" x14ac:dyDescent="0.2">
      <c r="B53" s="19"/>
      <c r="C53" s="20"/>
      <c r="D53" s="99">
        <f>$D$12 + ($L$12 * ($I$12 - $K$12) / $I$12)</f>
        <v>163866666.66666666</v>
      </c>
      <c r="E53" s="99"/>
      <c r="F53" s="99"/>
      <c r="G53" s="102"/>
      <c r="H53" s="99"/>
      <c r="I53" s="99"/>
      <c r="J53" s="99">
        <f>$D$13 + ($L$13 * ($I$13 - $K$13) / $I$13) + ($L$14 * ($I$14 - $K$14) / $I$14) - ($L$15 * ($I$15 - $K$15) / $I$15)</f>
        <v>210736263.73626375</v>
      </c>
      <c r="K53" s="99"/>
      <c r="L53" s="99"/>
      <c r="M53" s="102"/>
      <c r="N53" s="102"/>
      <c r="O53" s="102"/>
      <c r="P53" s="99"/>
      <c r="Q53" s="99"/>
      <c r="R53" s="99">
        <f>$D$14</f>
        <v>235000000</v>
      </c>
      <c r="S53" s="99"/>
      <c r="T53" s="99"/>
      <c r="U53" s="102"/>
      <c r="V53" s="102"/>
      <c r="W53" s="102"/>
      <c r="X53" s="99"/>
      <c r="Y53" s="99"/>
      <c r="Z53" s="99">
        <f>$D$15 + ($L$17 * ($I$17 - $K$17) / $I$17) - ($L$16 * ($I$16 - $K$16) / $I$16)</f>
        <v>245467391.30434781</v>
      </c>
      <c r="AA53" s="20"/>
      <c r="AB53" s="20"/>
      <c r="AC53" s="12"/>
      <c r="AD53" s="12"/>
      <c r="AE53" s="12"/>
    </row>
    <row r="54" spans="2:31" x14ac:dyDescent="0.2">
      <c r="B54" s="19"/>
      <c r="C54" s="20"/>
      <c r="D54" s="20"/>
      <c r="E54" s="20"/>
      <c r="F54" s="20"/>
      <c r="G54" s="12"/>
      <c r="H54" s="19"/>
      <c r="I54" s="20"/>
      <c r="J54" s="20"/>
      <c r="K54" s="20"/>
      <c r="L54" s="20"/>
      <c r="M54" s="12"/>
      <c r="N54" s="12"/>
      <c r="O54" s="12"/>
      <c r="P54" s="19"/>
      <c r="Q54" s="20"/>
      <c r="R54" s="20"/>
      <c r="S54" s="20"/>
      <c r="T54" s="20"/>
      <c r="U54" s="12"/>
      <c r="V54" s="12"/>
      <c r="W54" s="12"/>
      <c r="X54" s="19"/>
      <c r="Y54" s="20"/>
      <c r="Z54" s="20"/>
      <c r="AA54" s="20"/>
      <c r="AB54" s="20"/>
      <c r="AC54" s="12"/>
      <c r="AD54" s="12"/>
      <c r="AE54" s="12"/>
    </row>
    <row r="55" spans="2:31" x14ac:dyDescent="0.2">
      <c r="B55" s="26"/>
      <c r="C55" s="12" t="s">
        <v>117</v>
      </c>
      <c r="D55" s="25">
        <f>D52/D53</f>
        <v>-6.1025223759153787E-3</v>
      </c>
      <c r="E55" s="20"/>
      <c r="F55" s="20"/>
      <c r="G55" s="12"/>
      <c r="H55" s="26"/>
      <c r="I55" s="12" t="s">
        <v>117</v>
      </c>
      <c r="J55" s="25">
        <f>J52/J53</f>
        <v>-1.898107107472493E-2</v>
      </c>
      <c r="K55" s="20"/>
      <c r="L55" s="20"/>
      <c r="M55" s="12"/>
      <c r="N55" s="12"/>
      <c r="O55" s="12"/>
      <c r="P55" s="26"/>
      <c r="Q55" s="12" t="s">
        <v>117</v>
      </c>
      <c r="R55" s="25">
        <f>R52/R53</f>
        <v>4.2553191489361703E-3</v>
      </c>
      <c r="S55" s="20"/>
      <c r="T55" s="20"/>
      <c r="U55" s="12"/>
      <c r="V55" s="12"/>
      <c r="W55" s="12"/>
      <c r="X55" s="26"/>
      <c r="Y55" s="12" t="s">
        <v>117</v>
      </c>
      <c r="Z55" s="25">
        <f>Z52/Z53</f>
        <v>0</v>
      </c>
      <c r="AA55" s="20"/>
      <c r="AB55" s="20"/>
      <c r="AC55" s="12"/>
      <c r="AD55" s="12"/>
      <c r="AE55" s="12"/>
    </row>
    <row r="56" spans="2:31" x14ac:dyDescent="0.2">
      <c r="B56" s="26"/>
      <c r="C56" s="12"/>
      <c r="D56" s="25"/>
      <c r="E56" s="20"/>
      <c r="F56" s="20"/>
      <c r="G56" s="12"/>
      <c r="H56" s="26"/>
      <c r="I56" s="12"/>
      <c r="J56" s="25"/>
      <c r="K56" s="20"/>
      <c r="L56" s="20"/>
      <c r="M56" s="12"/>
      <c r="N56" s="12"/>
      <c r="O56" s="12"/>
      <c r="P56" s="26"/>
      <c r="Q56" s="12"/>
      <c r="R56" s="25"/>
      <c r="S56" s="20"/>
      <c r="T56" s="20"/>
      <c r="U56" s="12"/>
      <c r="V56" s="12"/>
      <c r="W56" s="12"/>
      <c r="X56" s="26"/>
      <c r="Y56" s="12"/>
      <c r="Z56" s="25"/>
      <c r="AA56" s="20"/>
      <c r="AB56" s="20"/>
      <c r="AC56" s="12"/>
      <c r="AD56" s="12"/>
      <c r="AE56" s="12"/>
    </row>
    <row r="57" spans="2:31" x14ac:dyDescent="0.2">
      <c r="B57" s="10"/>
    </row>
    <row r="58" spans="2:31" x14ac:dyDescent="0.2">
      <c r="B58" s="10"/>
    </row>
    <row r="59" spans="2:31" x14ac:dyDescent="0.2">
      <c r="B59" s="10"/>
    </row>
    <row r="60" spans="2:31" x14ac:dyDescent="0.2">
      <c r="B60" s="21" t="s">
        <v>115</v>
      </c>
      <c r="C60" s="22" t="s">
        <v>181</v>
      </c>
      <c r="D60" s="20"/>
      <c r="E60" s="20"/>
      <c r="F60" s="20"/>
      <c r="G60" s="12"/>
      <c r="H60" s="22" t="s">
        <v>182</v>
      </c>
      <c r="I60" s="12"/>
      <c r="J60" s="20"/>
      <c r="K60" s="20"/>
      <c r="L60" s="20"/>
      <c r="M60" s="12"/>
      <c r="N60" s="12"/>
      <c r="O60" s="12"/>
      <c r="P60" s="22" t="s">
        <v>183</v>
      </c>
      <c r="Q60" s="12"/>
      <c r="R60" s="20"/>
      <c r="S60" s="20"/>
      <c r="T60" s="20"/>
      <c r="U60" s="12"/>
      <c r="V60" s="12"/>
      <c r="W60" s="12"/>
      <c r="X60" s="22" t="s">
        <v>184</v>
      </c>
      <c r="Y60" s="12"/>
      <c r="Z60" s="20"/>
      <c r="AA60" s="20"/>
      <c r="AB60" s="20"/>
      <c r="AC60" s="12"/>
      <c r="AD60" s="12"/>
      <c r="AE60" s="12"/>
    </row>
    <row r="61" spans="2:31" x14ac:dyDescent="0.2">
      <c r="B61" s="19"/>
      <c r="C61" s="20"/>
      <c r="D61" s="20"/>
      <c r="E61" s="20"/>
      <c r="F61" s="20"/>
      <c r="G61" s="12"/>
      <c r="H61" s="19"/>
      <c r="I61" s="20"/>
      <c r="J61" s="20"/>
      <c r="K61" s="20"/>
      <c r="L61" s="20"/>
      <c r="M61" s="12"/>
      <c r="N61" s="12"/>
      <c r="O61" s="12"/>
      <c r="P61" s="19"/>
      <c r="Q61" s="20"/>
      <c r="R61" s="20"/>
      <c r="S61" s="20"/>
      <c r="T61" s="20"/>
      <c r="U61" s="12"/>
      <c r="V61" s="12"/>
      <c r="W61" s="12"/>
      <c r="X61" s="19"/>
      <c r="Y61" s="20"/>
      <c r="Z61" s="20"/>
      <c r="AA61" s="20"/>
      <c r="AB61" s="20"/>
      <c r="AC61" s="12"/>
      <c r="AD61" s="12"/>
      <c r="AE61" s="12"/>
    </row>
    <row r="62" spans="2:31" x14ac:dyDescent="0.2">
      <c r="B62" s="19" t="s">
        <v>185</v>
      </c>
      <c r="C62" s="20" t="s">
        <v>117</v>
      </c>
      <c r="D62" s="63" t="s">
        <v>123</v>
      </c>
      <c r="E62" s="33"/>
      <c r="F62" s="33"/>
      <c r="G62" s="12"/>
      <c r="H62" s="19" t="s">
        <v>186</v>
      </c>
      <c r="I62" s="20" t="s">
        <v>117</v>
      </c>
      <c r="J62" s="63" t="s">
        <v>123</v>
      </c>
      <c r="K62" s="33"/>
      <c r="L62" s="33"/>
      <c r="M62" s="12"/>
      <c r="N62" s="12"/>
      <c r="O62" s="12"/>
      <c r="P62" s="19" t="s">
        <v>187</v>
      </c>
      <c r="Q62" s="20" t="s">
        <v>117</v>
      </c>
      <c r="R62" s="63" t="s">
        <v>123</v>
      </c>
      <c r="S62" s="33"/>
      <c r="T62" s="33"/>
      <c r="U62" s="12"/>
      <c r="V62" s="12"/>
      <c r="W62" s="12"/>
      <c r="X62" s="19" t="s">
        <v>188</v>
      </c>
      <c r="Y62" s="20" t="s">
        <v>117</v>
      </c>
      <c r="Z62" s="63" t="s">
        <v>123</v>
      </c>
      <c r="AA62" s="33"/>
      <c r="AB62" s="33"/>
      <c r="AC62" s="12"/>
      <c r="AD62" s="12"/>
      <c r="AE62" s="12"/>
    </row>
    <row r="63" spans="2:31" x14ac:dyDescent="0.2">
      <c r="B63" s="19"/>
      <c r="C63" s="20"/>
      <c r="D63" s="12" t="s">
        <v>119</v>
      </c>
      <c r="E63" s="12"/>
      <c r="F63" s="12"/>
      <c r="G63" s="12"/>
      <c r="H63" s="19"/>
      <c r="I63" s="20"/>
      <c r="J63" s="12" t="s">
        <v>119</v>
      </c>
      <c r="K63" s="12"/>
      <c r="L63" s="12"/>
      <c r="M63" s="12"/>
      <c r="N63" s="12"/>
      <c r="O63" s="12"/>
      <c r="P63" s="19"/>
      <c r="Q63" s="20"/>
      <c r="R63" s="12" t="s">
        <v>119</v>
      </c>
      <c r="S63" s="12"/>
      <c r="T63" s="12"/>
      <c r="U63" s="12"/>
      <c r="V63" s="12"/>
      <c r="W63" s="12"/>
      <c r="X63" s="19"/>
      <c r="Y63" s="20"/>
      <c r="Z63" s="12" t="s">
        <v>119</v>
      </c>
      <c r="AA63" s="12"/>
      <c r="AB63" s="12"/>
      <c r="AC63" s="12"/>
      <c r="AD63" s="12"/>
      <c r="AE63" s="12"/>
    </row>
    <row r="64" spans="2:31" x14ac:dyDescent="0.2">
      <c r="B64" s="19"/>
      <c r="C64" s="20"/>
      <c r="D64" s="12"/>
      <c r="E64" s="12"/>
      <c r="F64" s="12"/>
      <c r="G64" s="12"/>
      <c r="H64" s="19"/>
      <c r="I64" s="20"/>
      <c r="J64" s="12"/>
      <c r="K64" s="12"/>
      <c r="L64" s="12"/>
      <c r="M64" s="12"/>
      <c r="N64" s="12"/>
      <c r="O64" s="12"/>
      <c r="P64" s="19"/>
      <c r="Q64" s="20"/>
      <c r="R64" s="12"/>
      <c r="S64" s="12"/>
      <c r="T64" s="12"/>
      <c r="U64" s="12"/>
      <c r="V64" s="12"/>
      <c r="W64" s="12"/>
      <c r="X64" s="19"/>
      <c r="Y64" s="20"/>
      <c r="Z64" s="12"/>
      <c r="AA64" s="12"/>
      <c r="AB64" s="12"/>
      <c r="AC64" s="12"/>
      <c r="AD64" s="12"/>
      <c r="AE64" s="12"/>
    </row>
    <row r="65" spans="1:31" s="13" customFormat="1" x14ac:dyDescent="0.2">
      <c r="A65" s="110"/>
      <c r="B65" s="99"/>
      <c r="C65" s="99" t="s">
        <v>117</v>
      </c>
      <c r="D65" s="104">
        <v>0</v>
      </c>
      <c r="E65" s="102"/>
      <c r="F65" s="104"/>
      <c r="G65" s="102"/>
      <c r="H65" s="99"/>
      <c r="I65" s="99" t="s">
        <v>117</v>
      </c>
      <c r="J65" s="104">
        <f>L15</f>
        <v>6000000</v>
      </c>
      <c r="K65" s="102"/>
      <c r="L65" s="104"/>
      <c r="M65" s="102"/>
      <c r="N65" s="102"/>
      <c r="O65" s="102"/>
      <c r="P65" s="99"/>
      <c r="Q65" s="99" t="s">
        <v>117</v>
      </c>
      <c r="R65" s="104">
        <v>0</v>
      </c>
      <c r="S65" s="102"/>
      <c r="T65" s="104"/>
      <c r="U65" s="102"/>
      <c r="V65" s="102"/>
      <c r="W65" s="102"/>
      <c r="X65" s="99"/>
      <c r="Y65" s="99" t="s">
        <v>117</v>
      </c>
      <c r="Z65" s="104">
        <f>$L$16</f>
        <v>6000000</v>
      </c>
      <c r="AA65" s="102"/>
      <c r="AB65" s="104"/>
      <c r="AC65" s="102"/>
      <c r="AD65" s="102"/>
      <c r="AE65" s="102"/>
    </row>
    <row r="66" spans="1:31" x14ac:dyDescent="0.2">
      <c r="B66" s="19"/>
      <c r="C66" s="20"/>
      <c r="D66" s="20" t="str">
        <f>_xlfn.CONCAT(TEXT($D$12,"0,0")," + (",TEXT($L$12,"0,0")," * ","(",TEXT($I$12,"0,0")," - ",TEXT($K$12,"0,0"),") / ",TEXT($I$12,"0,0"),")")</f>
        <v>150000000,0 + (26000000,0 * (90,0 - 42,0) / 90,0)</v>
      </c>
      <c r="E66" s="20"/>
      <c r="F66" s="20"/>
      <c r="G66" s="12"/>
      <c r="H66" s="19"/>
      <c r="I66" s="20"/>
      <c r="J66" s="20" t="str">
        <f>_xlfn.CONCAT(TEXT($D$13,"0,0"),  " + (",TEXT($L$13,"0,0"), " * ","(",TEXT($I$13,"0,0")," - ",TEXT($K$13,"0,0"),") / ",TEXT($I$13,"0,0"),")", " + (",TEXT($L$14,"0,0"), " * ","(",TEXT($I$14,"0,0")," - ",TEXT($K$14,"0,0"),") / ",TEXT($I$14,"0,0"),")"," - (",TEXT($L$15,"0,0"), " * ","(",TEXT($I$15,"0,0")," - ",TEXT($K$15,"0,0"),") / ",TEXT($I$15,"0,0"),")")</f>
        <v>175000000,0 + (39000000,0 * (91,0 - 37,0) / 91,0) + (25000000,0 * (91,0 - 37,0) / 91,0) - (6000000,0 * (91,0 - 57,0) / 91,0)</v>
      </c>
      <c r="K66" s="20"/>
      <c r="L66" s="20"/>
      <c r="M66" s="12"/>
      <c r="N66" s="12"/>
      <c r="O66" s="12"/>
      <c r="P66" s="19"/>
      <c r="Q66" s="20"/>
      <c r="R66" s="62" t="str">
        <f>_xlfn.CONCAT(TEXT($D$14,"0,0"))</f>
        <v>235000000,0</v>
      </c>
      <c r="S66" s="20"/>
      <c r="T66" s="20"/>
      <c r="U66" s="12"/>
      <c r="V66" s="12"/>
      <c r="W66" s="12"/>
      <c r="X66" s="19"/>
      <c r="Y66" s="20"/>
      <c r="Z66" s="20" t="str">
        <f>_xlfn.CONCAT(TEXT($D$15,"0,0"), " + (",TEXT($L$17,"0,0"), " * ","(",TEXT($I$17,"0,0")," - ",TEXT($K$17,"0,0"),") / ",TEXT($I$17,"0,0"),")"," - (",TEXT($L$16,"0,0"), " * ","(",TEXT($I$16,"0,0")," - ",TEXT($K$16,"0,0"),") / ",TEXT($I$16,"0,0"),")")</f>
        <v>236000000,0 + (35000000,0 * (92,0 - 57,0) / 92,0) - (6000000,0 * (92,0 - 33,0) / 92,0)</v>
      </c>
      <c r="AA66" s="20"/>
      <c r="AB66" s="20"/>
      <c r="AC66" s="12"/>
      <c r="AD66" s="12"/>
      <c r="AE66" s="12"/>
    </row>
    <row r="67" spans="1:31" x14ac:dyDescent="0.2">
      <c r="B67" s="19"/>
      <c r="C67" s="20"/>
      <c r="D67" s="20"/>
      <c r="E67" s="20"/>
      <c r="F67" s="20"/>
      <c r="G67" s="12"/>
      <c r="H67" s="19"/>
      <c r="I67" s="20"/>
      <c r="J67" s="20"/>
      <c r="K67" s="20"/>
      <c r="L67" s="20"/>
      <c r="M67" s="12"/>
      <c r="N67" s="12"/>
      <c r="O67" s="12"/>
      <c r="P67" s="19"/>
      <c r="Q67" s="20"/>
      <c r="R67" s="20"/>
      <c r="S67" s="20"/>
      <c r="T67" s="20"/>
      <c r="U67" s="12"/>
      <c r="V67" s="12"/>
      <c r="W67" s="12"/>
      <c r="X67" s="19"/>
      <c r="Y67" s="20"/>
      <c r="Z67" s="20"/>
      <c r="AA67" s="20"/>
      <c r="AB67" s="20"/>
      <c r="AC67" s="12"/>
      <c r="AD67" s="12"/>
      <c r="AE67" s="12"/>
    </row>
    <row r="68" spans="1:31" x14ac:dyDescent="0.2">
      <c r="B68" s="19"/>
      <c r="C68" s="20" t="s">
        <v>117</v>
      </c>
      <c r="D68" s="104">
        <v>0</v>
      </c>
      <c r="E68" s="99"/>
      <c r="F68" s="99"/>
      <c r="G68" s="102"/>
      <c r="H68" s="99"/>
      <c r="I68" s="99" t="s">
        <v>117</v>
      </c>
      <c r="J68" s="104">
        <f>L15</f>
        <v>6000000</v>
      </c>
      <c r="K68" s="99"/>
      <c r="L68" s="99"/>
      <c r="M68" s="102"/>
      <c r="N68" s="102"/>
      <c r="O68" s="102"/>
      <c r="P68" s="99"/>
      <c r="Q68" s="99" t="s">
        <v>117</v>
      </c>
      <c r="R68" s="104">
        <v>0</v>
      </c>
      <c r="S68" s="99"/>
      <c r="T68" s="99"/>
      <c r="U68" s="102"/>
      <c r="V68" s="102"/>
      <c r="W68" s="102"/>
      <c r="X68" s="99"/>
      <c r="Y68" s="99" t="s">
        <v>117</v>
      </c>
      <c r="Z68" s="104">
        <f>$L$16</f>
        <v>6000000</v>
      </c>
      <c r="AA68" s="20"/>
      <c r="AB68" s="20"/>
      <c r="AC68" s="12"/>
      <c r="AD68" s="12"/>
      <c r="AE68" s="12"/>
    </row>
    <row r="69" spans="1:31" x14ac:dyDescent="0.2">
      <c r="B69" s="19"/>
      <c r="C69" s="20"/>
      <c r="D69" s="99">
        <f>$D$12 + ($L$12 * ($I$12 - $K$12) / $I$12)</f>
        <v>163866666.66666666</v>
      </c>
      <c r="E69" s="99"/>
      <c r="F69" s="99"/>
      <c r="G69" s="102"/>
      <c r="H69" s="99"/>
      <c r="I69" s="99"/>
      <c r="J69" s="99">
        <f>$D$13 + ($L$13 * ($I$13 - $K$13) / $I$13) + ($L$14 * ($I$14 - $K$14) / $I$14) - ($L$15 * ($I$15 - $K$15) / $I$15)</f>
        <v>210736263.73626375</v>
      </c>
      <c r="K69" s="99"/>
      <c r="L69" s="99"/>
      <c r="M69" s="102"/>
      <c r="N69" s="102"/>
      <c r="O69" s="102"/>
      <c r="P69" s="99"/>
      <c r="Q69" s="99"/>
      <c r="R69" s="99">
        <f>$D$14</f>
        <v>235000000</v>
      </c>
      <c r="S69" s="99"/>
      <c r="T69" s="99"/>
      <c r="U69" s="102"/>
      <c r="V69" s="102"/>
      <c r="W69" s="102"/>
      <c r="X69" s="99"/>
      <c r="Y69" s="99"/>
      <c r="Z69" s="99">
        <f>$D$15 + ($L$17 * ($I$17 - $K$17) / $I$17) - ($L$16 * ($I$16 - $K$16) / $I$16)</f>
        <v>245467391.30434781</v>
      </c>
      <c r="AA69" s="20"/>
      <c r="AB69" s="20"/>
      <c r="AC69" s="12"/>
      <c r="AD69" s="12"/>
      <c r="AE69" s="12"/>
    </row>
    <row r="70" spans="1:31" x14ac:dyDescent="0.2">
      <c r="B70" s="19"/>
      <c r="C70" s="20"/>
      <c r="D70" s="20"/>
      <c r="E70" s="20"/>
      <c r="F70" s="20"/>
      <c r="G70" s="12"/>
      <c r="H70" s="19"/>
      <c r="I70" s="20"/>
      <c r="J70" s="20"/>
      <c r="K70" s="20"/>
      <c r="L70" s="20"/>
      <c r="M70" s="12"/>
      <c r="N70" s="12"/>
      <c r="O70" s="12"/>
      <c r="P70" s="19"/>
      <c r="Q70" s="20"/>
      <c r="R70" s="20"/>
      <c r="S70" s="20"/>
      <c r="T70" s="20"/>
      <c r="U70" s="12"/>
      <c r="V70" s="12"/>
      <c r="W70" s="12"/>
      <c r="X70" s="19"/>
      <c r="Y70" s="20"/>
      <c r="Z70" s="20"/>
      <c r="AA70" s="20"/>
      <c r="AB70" s="20"/>
      <c r="AC70" s="12"/>
      <c r="AD70" s="12"/>
      <c r="AE70" s="12"/>
    </row>
    <row r="71" spans="1:31" x14ac:dyDescent="0.2">
      <c r="B71" s="26"/>
      <c r="C71" s="12" t="s">
        <v>117</v>
      </c>
      <c r="D71" s="25">
        <f>D68/D69</f>
        <v>0</v>
      </c>
      <c r="E71" s="20"/>
      <c r="F71" s="20"/>
      <c r="G71" s="12"/>
      <c r="H71" s="26"/>
      <c r="I71" s="12" t="s">
        <v>117</v>
      </c>
      <c r="J71" s="25">
        <f>J68/J69</f>
        <v>2.8471606612087395E-2</v>
      </c>
      <c r="K71" s="20"/>
      <c r="L71" s="20"/>
      <c r="M71" s="12"/>
      <c r="N71" s="12"/>
      <c r="O71" s="12"/>
      <c r="P71" s="26"/>
      <c r="Q71" s="12" t="s">
        <v>117</v>
      </c>
      <c r="R71" s="25">
        <f>R68/R69</f>
        <v>0</v>
      </c>
      <c r="S71" s="20"/>
      <c r="T71" s="20"/>
      <c r="U71" s="12"/>
      <c r="V71" s="12"/>
      <c r="W71" s="12"/>
      <c r="X71" s="26"/>
      <c r="Y71" s="12" t="s">
        <v>117</v>
      </c>
      <c r="Z71" s="25">
        <f>Z68/Z69</f>
        <v>2.4443165212770668E-2</v>
      </c>
      <c r="AA71" s="20"/>
      <c r="AB71" s="20"/>
      <c r="AC71" s="12"/>
      <c r="AD71" s="12"/>
      <c r="AE71" s="12"/>
    </row>
    <row r="72" spans="1:31" x14ac:dyDescent="0.2">
      <c r="B72" s="26"/>
      <c r="C72" s="12"/>
      <c r="D72" s="25"/>
      <c r="E72" s="20"/>
      <c r="F72" s="20"/>
      <c r="G72" s="12"/>
      <c r="H72" s="26"/>
      <c r="I72" s="12"/>
      <c r="J72" s="25"/>
      <c r="K72" s="20"/>
      <c r="L72" s="20"/>
      <c r="M72" s="12"/>
      <c r="N72" s="12"/>
      <c r="O72" s="12"/>
      <c r="P72" s="26"/>
      <c r="Q72" s="12"/>
      <c r="R72" s="25"/>
      <c r="S72" s="20"/>
      <c r="T72" s="20"/>
      <c r="U72" s="12"/>
      <c r="V72" s="12"/>
      <c r="W72" s="12"/>
      <c r="X72" s="26"/>
      <c r="Y72" s="12"/>
      <c r="Z72" s="25"/>
      <c r="AA72" s="20"/>
      <c r="AB72" s="20"/>
      <c r="AC72" s="12"/>
      <c r="AD72" s="12"/>
      <c r="AE72" s="12"/>
    </row>
  </sheetData>
  <mergeCells count="3">
    <mergeCell ref="F4:G6"/>
    <mergeCell ref="H1:L1"/>
    <mergeCell ref="U20:V22"/>
  </mergeCells>
  <hyperlinks>
    <hyperlink ref="H1:L1" location="'Table of Contents'!A1" display="Back to Table of Contents" xr:uid="{E9418F15-5364-42AF-A751-CCA810226112}"/>
    <hyperlink ref="U20:V22" r:id="rId1" location="inrev-guidelines" display="For more information about Performance Measurement visit the INREV Guidelines on Performance Measurement." xr:uid="{997AC99A-1996-4C9E-94D6-13EE87A9741F}"/>
  </hyperlinks>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BD539-0C73-4FA9-8F97-B826240FD6AE}">
  <sheetPr>
    <tabColor theme="5"/>
  </sheetPr>
  <dimension ref="A1:AD72"/>
  <sheetViews>
    <sheetView showGridLines="0" zoomScaleNormal="100" zoomScalePageLayoutView="85" workbookViewId="0">
      <pane ySplit="6" topLeftCell="A7" activePane="bottomLeft" state="frozen"/>
      <selection activeCell="B9" sqref="B9"/>
      <selection pane="bottomLeft"/>
    </sheetView>
  </sheetViews>
  <sheetFormatPr defaultColWidth="8.7109375" defaultRowHeight="12.75" x14ac:dyDescent="0.2"/>
  <cols>
    <col min="1" max="1" width="7.28515625" style="7" customWidth="1"/>
    <col min="2" max="2" width="22.28515625" customWidth="1"/>
    <col min="3" max="6" width="17.7109375" customWidth="1"/>
    <col min="7" max="7" width="18.42578125" customWidth="1"/>
    <col min="8" max="8" width="17.7109375" customWidth="1"/>
    <col min="9" max="9" width="19" customWidth="1"/>
    <col min="10" max="10" width="17.42578125" bestFit="1" customWidth="1"/>
    <col min="11" max="11" width="14" bestFit="1" customWidth="1"/>
    <col min="12" max="12" width="15.7109375" customWidth="1"/>
    <col min="13" max="13" width="16.42578125" bestFit="1" customWidth="1"/>
    <col min="14" max="14" width="10.140625" customWidth="1"/>
    <col min="15" max="15" width="15.28515625" customWidth="1"/>
    <col min="16" max="18" width="13.7109375" customWidth="1"/>
    <col min="22" max="22" width="46.28515625" bestFit="1" customWidth="1"/>
    <col min="23" max="23" width="15.42578125" customWidth="1"/>
    <col min="25" max="25" width="14.5703125" customWidth="1"/>
    <col min="30" max="30" width="28.140625" customWidth="1"/>
  </cols>
  <sheetData>
    <row r="1" spans="1:22" s="1" customFormat="1" ht="34.9" customHeight="1" x14ac:dyDescent="0.2">
      <c r="A1" s="6"/>
      <c r="B1" s="2" t="str">
        <f ca="1">MID(CELL("filename",A1),FIND("]",CELL("filename",A1))+ 1,255)&amp;" - calculation example"</f>
        <v>Quarterly return 2011 - calculation example</v>
      </c>
      <c r="H1" s="181" t="s">
        <v>68</v>
      </c>
      <c r="I1" s="181"/>
      <c r="J1" s="181"/>
      <c r="K1" s="181"/>
      <c r="L1" s="181"/>
    </row>
    <row r="3" spans="1:22" x14ac:dyDescent="0.2">
      <c r="A3"/>
    </row>
    <row r="4" spans="1:22" ht="13.15" customHeight="1" x14ac:dyDescent="0.2">
      <c r="A4"/>
      <c r="B4" s="12" t="s">
        <v>69</v>
      </c>
      <c r="C4" s="12" t="s">
        <v>70</v>
      </c>
      <c r="F4" s="180" t="s">
        <v>71</v>
      </c>
      <c r="G4" s="180"/>
    </row>
    <row r="5" spans="1:22" x14ac:dyDescent="0.2">
      <c r="A5"/>
      <c r="B5" s="12" t="s">
        <v>72</v>
      </c>
      <c r="C5" s="12" t="s">
        <v>73</v>
      </c>
      <c r="F5" s="180"/>
      <c r="G5" s="180"/>
    </row>
    <row r="6" spans="1:22" x14ac:dyDescent="0.2">
      <c r="A6"/>
      <c r="B6" s="12" t="s">
        <v>74</v>
      </c>
      <c r="C6" s="12" t="s">
        <v>75</v>
      </c>
      <c r="F6" s="180"/>
      <c r="G6" s="180"/>
    </row>
    <row r="7" spans="1:22" x14ac:dyDescent="0.2">
      <c r="A7"/>
    </row>
    <row r="8" spans="1:22" x14ac:dyDescent="0.2">
      <c r="A8"/>
    </row>
    <row r="9" spans="1:22" x14ac:dyDescent="0.2">
      <c r="A9"/>
    </row>
    <row r="10" spans="1:22" x14ac:dyDescent="0.2">
      <c r="A10"/>
      <c r="B10" s="3" t="s">
        <v>76</v>
      </c>
      <c r="F10" s="3" t="s">
        <v>77</v>
      </c>
      <c r="N10" s="3" t="s">
        <v>78</v>
      </c>
    </row>
    <row r="11" spans="1:22" x14ac:dyDescent="0.2">
      <c r="A11"/>
      <c r="B11" s="4" t="s">
        <v>79</v>
      </c>
      <c r="C11" s="4" t="s">
        <v>80</v>
      </c>
      <c r="D11" s="4" t="s">
        <v>81</v>
      </c>
      <c r="F11" s="4" t="s">
        <v>82</v>
      </c>
      <c r="G11" s="4" t="s">
        <v>79</v>
      </c>
      <c r="H11" s="4" t="s">
        <v>80</v>
      </c>
      <c r="I11" s="4" t="s">
        <v>160</v>
      </c>
      <c r="J11" s="4" t="s">
        <v>83</v>
      </c>
      <c r="K11" s="4" t="s">
        <v>84</v>
      </c>
      <c r="L11" s="4" t="s">
        <v>85</v>
      </c>
      <c r="M11" s="4" t="s">
        <v>86</v>
      </c>
      <c r="O11" s="56"/>
      <c r="P11" s="4" t="s">
        <v>189</v>
      </c>
      <c r="Q11" s="4" t="s">
        <v>190</v>
      </c>
      <c r="R11" s="4" t="s">
        <v>191</v>
      </c>
      <c r="S11" s="4" t="s">
        <v>192</v>
      </c>
      <c r="U11" s="128" t="s">
        <v>87</v>
      </c>
      <c r="V11" s="122"/>
    </row>
    <row r="12" spans="1:22" s="29" customFormat="1" x14ac:dyDescent="0.2">
      <c r="B12" s="29">
        <v>2009</v>
      </c>
      <c r="C12" s="29">
        <v>4</v>
      </c>
      <c r="D12" s="30">
        <v>150000000</v>
      </c>
      <c r="F12" s="31">
        <v>40220</v>
      </c>
      <c r="G12" s="29">
        <f t="shared" ref="G12:G24" si="0">YEAR(F12)</f>
        <v>2010</v>
      </c>
      <c r="H12" s="29">
        <f t="shared" ref="H12:H24" si="1">ROUNDUP(MONTH(F12)/3,0)</f>
        <v>1</v>
      </c>
      <c r="I12" s="32">
        <f t="shared" ref="I12:I24" si="2">(EOMONTH(DATE(YEAR(F12),H12*3,1),0))-EOMONTH(DATE(G12,H12*3,1),-3)</f>
        <v>90</v>
      </c>
      <c r="J12" s="32">
        <f t="shared" ref="J12:J24" si="3">F12-DATE(YEAR(F12)-1,12,31)</f>
        <v>42</v>
      </c>
      <c r="K12" s="32">
        <f t="shared" ref="K12:K24" si="4">F12-EOMONTH(DATE(G12,H12*3,1),-3)</f>
        <v>42</v>
      </c>
      <c r="L12" s="30">
        <v>26000000</v>
      </c>
      <c r="M12" s="29" t="s">
        <v>88</v>
      </c>
      <c r="O12" s="29" t="s">
        <v>89</v>
      </c>
      <c r="P12" s="61">
        <f>D39</f>
        <v>1.4760147601476014E-2</v>
      </c>
      <c r="Q12" s="61">
        <f>J39</f>
        <v>-7.3425585992657446E-3</v>
      </c>
      <c r="R12" s="61">
        <f>Q39</f>
        <v>7.4578469520103765E-3</v>
      </c>
      <c r="S12" s="61">
        <f>Y39</f>
        <v>1.3842392326499907E-2</v>
      </c>
      <c r="U12" s="123"/>
      <c r="V12" s="124"/>
    </row>
    <row r="13" spans="1:22" s="29" customFormat="1" x14ac:dyDescent="0.2">
      <c r="B13" s="29">
        <v>2010</v>
      </c>
      <c r="C13" s="29">
        <v>1</v>
      </c>
      <c r="D13" s="30">
        <v>175000000</v>
      </c>
      <c r="F13" s="31">
        <v>40305</v>
      </c>
      <c r="G13" s="29">
        <f t="shared" si="0"/>
        <v>2010</v>
      </c>
      <c r="H13" s="29">
        <f t="shared" si="1"/>
        <v>2</v>
      </c>
      <c r="I13" s="32">
        <f t="shared" si="2"/>
        <v>91</v>
      </c>
      <c r="J13" s="32">
        <f t="shared" si="3"/>
        <v>127</v>
      </c>
      <c r="K13" s="32">
        <f t="shared" si="4"/>
        <v>37</v>
      </c>
      <c r="L13" s="30">
        <v>39000000</v>
      </c>
      <c r="M13" s="29" t="s">
        <v>90</v>
      </c>
      <c r="O13" s="29" t="s">
        <v>91</v>
      </c>
      <c r="P13" s="61">
        <f>D55</f>
        <v>1.4760147601476014E-2</v>
      </c>
      <c r="Q13" s="61">
        <f>J55</f>
        <v>-3.3041513696695848E-2</v>
      </c>
      <c r="R13" s="61">
        <f>Q55</f>
        <v>7.4578469520103765E-3</v>
      </c>
      <c r="S13" s="61">
        <f>Y55</f>
        <v>-1.0381794244874929E-2</v>
      </c>
      <c r="U13" s="125" t="s">
        <v>92</v>
      </c>
      <c r="V13" s="124" t="s">
        <v>93</v>
      </c>
    </row>
    <row r="14" spans="1:22" s="29" customFormat="1" x14ac:dyDescent="0.2">
      <c r="B14" s="29">
        <v>2010</v>
      </c>
      <c r="C14" s="29">
        <v>2</v>
      </c>
      <c r="D14" s="30">
        <v>235000000</v>
      </c>
      <c r="F14" s="31">
        <v>40305</v>
      </c>
      <c r="G14" s="29">
        <f t="shared" si="0"/>
        <v>2010</v>
      </c>
      <c r="H14" s="29">
        <f t="shared" si="1"/>
        <v>2</v>
      </c>
      <c r="I14" s="32">
        <f t="shared" si="2"/>
        <v>91</v>
      </c>
      <c r="J14" s="32">
        <f t="shared" si="3"/>
        <v>127</v>
      </c>
      <c r="K14" s="32">
        <f t="shared" si="4"/>
        <v>37</v>
      </c>
      <c r="L14" s="30">
        <v>25000000</v>
      </c>
      <c r="M14" s="29" t="s">
        <v>94</v>
      </c>
      <c r="O14" s="29" t="s">
        <v>95</v>
      </c>
      <c r="P14" s="61">
        <f>D71</f>
        <v>0</v>
      </c>
      <c r="Q14" s="61">
        <f>J71</f>
        <v>2.5698955097430108E-2</v>
      </c>
      <c r="R14" s="61">
        <f>Q71</f>
        <v>0</v>
      </c>
      <c r="S14" s="61">
        <f>Y71</f>
        <v>2.4224186571374838E-2</v>
      </c>
      <c r="U14" s="125" t="s">
        <v>96</v>
      </c>
      <c r="V14" s="124" t="s">
        <v>97</v>
      </c>
    </row>
    <row r="15" spans="1:22" s="29" customFormat="1" x14ac:dyDescent="0.2">
      <c r="B15" s="29">
        <v>2010</v>
      </c>
      <c r="C15" s="29">
        <v>3</v>
      </c>
      <c r="D15" s="30">
        <v>236000000</v>
      </c>
      <c r="F15" s="31">
        <v>40325</v>
      </c>
      <c r="G15" s="29">
        <f t="shared" si="0"/>
        <v>2010</v>
      </c>
      <c r="H15" s="29">
        <f t="shared" si="1"/>
        <v>2</v>
      </c>
      <c r="I15" s="32">
        <f t="shared" si="2"/>
        <v>91</v>
      </c>
      <c r="J15" s="32">
        <f t="shared" si="3"/>
        <v>147</v>
      </c>
      <c r="K15" s="32">
        <f t="shared" si="4"/>
        <v>57</v>
      </c>
      <c r="L15" s="30">
        <v>6000000</v>
      </c>
      <c r="M15" s="29" t="s">
        <v>98</v>
      </c>
      <c r="U15" s="125" t="s">
        <v>99</v>
      </c>
      <c r="V15" s="124" t="s">
        <v>100</v>
      </c>
    </row>
    <row r="16" spans="1:22" s="29" customFormat="1" x14ac:dyDescent="0.2">
      <c r="B16" s="16">
        <v>2010</v>
      </c>
      <c r="C16" s="16">
        <v>4</v>
      </c>
      <c r="D16" s="18">
        <v>271000000</v>
      </c>
      <c r="F16" s="31">
        <v>40484</v>
      </c>
      <c r="G16" s="29">
        <f t="shared" si="0"/>
        <v>2010</v>
      </c>
      <c r="H16" s="29">
        <f t="shared" si="1"/>
        <v>4</v>
      </c>
      <c r="I16" s="32">
        <f t="shared" si="2"/>
        <v>92</v>
      </c>
      <c r="J16" s="32">
        <f t="shared" si="3"/>
        <v>306</v>
      </c>
      <c r="K16" s="32">
        <f t="shared" si="4"/>
        <v>33</v>
      </c>
      <c r="L16" s="30">
        <v>6000000</v>
      </c>
      <c r="M16" s="29" t="s">
        <v>101</v>
      </c>
      <c r="U16" s="125" t="s">
        <v>102</v>
      </c>
      <c r="V16" s="124" t="s">
        <v>103</v>
      </c>
    </row>
    <row r="17" spans="1:30" s="29" customFormat="1" x14ac:dyDescent="0.2">
      <c r="B17" s="16">
        <v>2011</v>
      </c>
      <c r="C17" s="16">
        <v>1</v>
      </c>
      <c r="D17" s="18">
        <v>275000000</v>
      </c>
      <c r="F17" s="31">
        <v>40508</v>
      </c>
      <c r="G17" s="29">
        <f t="shared" si="0"/>
        <v>2010</v>
      </c>
      <c r="H17" s="29">
        <f t="shared" si="1"/>
        <v>4</v>
      </c>
      <c r="I17" s="32">
        <f t="shared" si="2"/>
        <v>92</v>
      </c>
      <c r="J17" s="32">
        <f t="shared" si="3"/>
        <v>330</v>
      </c>
      <c r="K17" s="32">
        <f t="shared" si="4"/>
        <v>57</v>
      </c>
      <c r="L17" s="30">
        <v>35000000</v>
      </c>
      <c r="M17" s="29" t="s">
        <v>104</v>
      </c>
      <c r="U17" s="125" t="s">
        <v>105</v>
      </c>
      <c r="V17" s="124" t="s">
        <v>106</v>
      </c>
    </row>
    <row r="18" spans="1:30" s="29" customFormat="1" x14ac:dyDescent="0.2">
      <c r="A18" s="36"/>
      <c r="B18" s="16">
        <v>2011</v>
      </c>
      <c r="C18" s="16">
        <v>2</v>
      </c>
      <c r="D18" s="18">
        <v>266000000</v>
      </c>
      <c r="F18" s="15">
        <v>40690</v>
      </c>
      <c r="G18" s="16">
        <f t="shared" si="0"/>
        <v>2011</v>
      </c>
      <c r="H18" s="16">
        <f t="shared" si="1"/>
        <v>2</v>
      </c>
      <c r="I18" s="17">
        <f t="shared" si="2"/>
        <v>91</v>
      </c>
      <c r="J18" s="17">
        <f t="shared" si="3"/>
        <v>147</v>
      </c>
      <c r="K18" s="17">
        <f t="shared" si="4"/>
        <v>57</v>
      </c>
      <c r="L18" s="18">
        <v>7000000</v>
      </c>
      <c r="M18" s="16" t="s">
        <v>107</v>
      </c>
      <c r="U18" s="126"/>
      <c r="V18" s="124"/>
    </row>
    <row r="19" spans="1:30" s="29" customFormat="1" x14ac:dyDescent="0.2">
      <c r="A19" s="36"/>
      <c r="B19" s="16">
        <v>2011</v>
      </c>
      <c r="C19" s="16">
        <v>3</v>
      </c>
      <c r="D19" s="18">
        <v>293000000</v>
      </c>
      <c r="F19" s="15">
        <v>40808</v>
      </c>
      <c r="G19" s="16">
        <f t="shared" si="0"/>
        <v>2011</v>
      </c>
      <c r="H19" s="16">
        <f t="shared" si="1"/>
        <v>3</v>
      </c>
      <c r="I19" s="17">
        <f t="shared" si="2"/>
        <v>92</v>
      </c>
      <c r="J19" s="17">
        <f t="shared" si="3"/>
        <v>265</v>
      </c>
      <c r="K19" s="17">
        <f t="shared" si="4"/>
        <v>84</v>
      </c>
      <c r="L19" s="18">
        <v>25000000</v>
      </c>
      <c r="M19" s="16" t="s">
        <v>108</v>
      </c>
      <c r="U19" s="123"/>
      <c r="V19" s="124"/>
    </row>
    <row r="20" spans="1:30" s="29" customFormat="1" ht="12.75" customHeight="1" x14ac:dyDescent="0.2">
      <c r="A20" s="36"/>
      <c r="B20" s="16">
        <v>2011</v>
      </c>
      <c r="C20" s="16">
        <v>4</v>
      </c>
      <c r="D20" s="18">
        <v>290000000</v>
      </c>
      <c r="F20" s="15">
        <v>40855</v>
      </c>
      <c r="G20" s="16">
        <f t="shared" si="0"/>
        <v>2011</v>
      </c>
      <c r="H20" s="16">
        <f t="shared" si="1"/>
        <v>4</v>
      </c>
      <c r="I20" s="17">
        <f t="shared" si="2"/>
        <v>92</v>
      </c>
      <c r="J20" s="17">
        <f t="shared" si="3"/>
        <v>312</v>
      </c>
      <c r="K20" s="17">
        <f t="shared" si="4"/>
        <v>39</v>
      </c>
      <c r="L20" s="18">
        <v>7000000</v>
      </c>
      <c r="M20" s="16" t="s">
        <v>109</v>
      </c>
      <c r="U20" s="182" t="s">
        <v>110</v>
      </c>
      <c r="V20" s="183"/>
    </row>
    <row r="21" spans="1:30" s="29" customFormat="1" x14ac:dyDescent="0.2">
      <c r="B21" s="29">
        <v>2012</v>
      </c>
      <c r="C21" s="29">
        <v>1</v>
      </c>
      <c r="D21" s="30">
        <v>295000000</v>
      </c>
      <c r="F21" s="31">
        <v>40939</v>
      </c>
      <c r="G21" s="29">
        <f t="shared" si="0"/>
        <v>2012</v>
      </c>
      <c r="H21" s="29">
        <f t="shared" si="1"/>
        <v>1</v>
      </c>
      <c r="I21" s="29">
        <f t="shared" si="2"/>
        <v>91</v>
      </c>
      <c r="J21" s="32">
        <f t="shared" si="3"/>
        <v>31</v>
      </c>
      <c r="K21" s="32">
        <f t="shared" si="4"/>
        <v>31</v>
      </c>
      <c r="L21" s="30">
        <v>2000000</v>
      </c>
      <c r="M21" s="29" t="s">
        <v>111</v>
      </c>
      <c r="U21" s="182"/>
      <c r="V21" s="183"/>
    </row>
    <row r="22" spans="1:30" s="29" customFormat="1" x14ac:dyDescent="0.2">
      <c r="A22" s="36"/>
      <c r="B22" s="29">
        <v>2012</v>
      </c>
      <c r="C22" s="29">
        <v>2</v>
      </c>
      <c r="D22" s="30">
        <v>325000000</v>
      </c>
      <c r="F22" s="31">
        <v>41057</v>
      </c>
      <c r="G22" s="29">
        <f t="shared" si="0"/>
        <v>2012</v>
      </c>
      <c r="H22" s="29">
        <f t="shared" si="1"/>
        <v>2</v>
      </c>
      <c r="I22" s="29">
        <f t="shared" si="2"/>
        <v>91</v>
      </c>
      <c r="J22" s="32">
        <f t="shared" si="3"/>
        <v>149</v>
      </c>
      <c r="K22" s="32">
        <f t="shared" si="4"/>
        <v>58</v>
      </c>
      <c r="L22" s="30">
        <v>7000000</v>
      </c>
      <c r="M22" s="29" t="s">
        <v>112</v>
      </c>
      <c r="U22" s="184"/>
      <c r="V22" s="185"/>
    </row>
    <row r="23" spans="1:30" s="29" customFormat="1" x14ac:dyDescent="0.2">
      <c r="A23" s="36"/>
      <c r="B23" s="29">
        <v>2012</v>
      </c>
      <c r="C23" s="29">
        <v>3</v>
      </c>
      <c r="D23" s="30">
        <v>326000000</v>
      </c>
      <c r="F23" s="31">
        <v>41059</v>
      </c>
      <c r="G23" s="29">
        <f t="shared" si="0"/>
        <v>2012</v>
      </c>
      <c r="H23" s="29">
        <f t="shared" si="1"/>
        <v>2</v>
      </c>
      <c r="I23" s="29">
        <f t="shared" si="2"/>
        <v>91</v>
      </c>
      <c r="J23" s="32">
        <f t="shared" si="3"/>
        <v>151</v>
      </c>
      <c r="K23" s="32">
        <f t="shared" si="4"/>
        <v>60</v>
      </c>
      <c r="L23" s="30">
        <v>23000000</v>
      </c>
      <c r="M23" s="29" t="s">
        <v>113</v>
      </c>
    </row>
    <row r="24" spans="1:30" s="29" customFormat="1" x14ac:dyDescent="0.2">
      <c r="A24" s="36"/>
      <c r="B24" s="29">
        <v>2012</v>
      </c>
      <c r="C24" s="29">
        <v>4</v>
      </c>
      <c r="D24" s="30">
        <v>320000000</v>
      </c>
      <c r="F24" s="31">
        <v>41219</v>
      </c>
      <c r="G24" s="29">
        <f t="shared" si="0"/>
        <v>2012</v>
      </c>
      <c r="H24" s="29">
        <f t="shared" si="1"/>
        <v>4</v>
      </c>
      <c r="I24" s="29">
        <f t="shared" si="2"/>
        <v>92</v>
      </c>
      <c r="J24" s="32">
        <f t="shared" si="3"/>
        <v>311</v>
      </c>
      <c r="K24" s="32">
        <f t="shared" si="4"/>
        <v>37</v>
      </c>
      <c r="L24" s="30">
        <v>8000000</v>
      </c>
      <c r="M24" s="29" t="s">
        <v>114</v>
      </c>
    </row>
    <row r="25" spans="1:30" x14ac:dyDescent="0.2">
      <c r="B25" s="10"/>
    </row>
    <row r="26" spans="1:30" x14ac:dyDescent="0.2">
      <c r="B26" s="10"/>
    </row>
    <row r="27" spans="1:30" x14ac:dyDescent="0.2">
      <c r="B27" s="10"/>
    </row>
    <row r="28" spans="1:30" x14ac:dyDescent="0.2">
      <c r="B28" s="21" t="s">
        <v>115</v>
      </c>
      <c r="C28" s="22" t="s">
        <v>193</v>
      </c>
      <c r="D28" s="20"/>
      <c r="E28" s="20"/>
      <c r="F28" s="20"/>
      <c r="G28" s="12"/>
      <c r="H28" s="22" t="s">
        <v>194</v>
      </c>
      <c r="I28" s="12"/>
      <c r="J28" s="20"/>
      <c r="K28" s="20"/>
      <c r="L28" s="20"/>
      <c r="M28" s="12"/>
      <c r="N28" s="12"/>
      <c r="O28" s="22" t="s">
        <v>195</v>
      </c>
      <c r="P28" s="12"/>
      <c r="Q28" s="20"/>
      <c r="R28" s="20"/>
      <c r="S28" s="20"/>
      <c r="T28" s="12"/>
      <c r="U28" s="12"/>
      <c r="V28" s="12"/>
      <c r="W28" s="22" t="s">
        <v>196</v>
      </c>
      <c r="X28" s="12"/>
      <c r="Y28" s="20"/>
      <c r="Z28" s="20"/>
      <c r="AA28" s="20"/>
      <c r="AB28" s="12"/>
      <c r="AC28" s="12"/>
      <c r="AD28" s="12"/>
    </row>
    <row r="29" spans="1:30" x14ac:dyDescent="0.2">
      <c r="B29" s="19"/>
      <c r="C29" s="20"/>
      <c r="D29" s="20"/>
      <c r="E29" s="20"/>
      <c r="F29" s="20"/>
      <c r="G29" s="12"/>
      <c r="H29" s="19"/>
      <c r="I29" s="20"/>
      <c r="J29" s="20"/>
      <c r="K29" s="20"/>
      <c r="L29" s="20"/>
      <c r="M29" s="12"/>
      <c r="N29" s="12"/>
      <c r="O29" s="19"/>
      <c r="P29" s="20"/>
      <c r="Q29" s="20"/>
      <c r="R29" s="20"/>
      <c r="S29" s="20"/>
      <c r="T29" s="12"/>
      <c r="U29" s="12"/>
      <c r="V29" s="12"/>
      <c r="W29" s="19"/>
      <c r="X29" s="20"/>
      <c r="Y29" s="20"/>
      <c r="Z29" s="20"/>
      <c r="AA29" s="20"/>
      <c r="AB29" s="12"/>
      <c r="AC29" s="12"/>
      <c r="AD29" s="12"/>
    </row>
    <row r="30" spans="1:30" x14ac:dyDescent="0.2">
      <c r="B30" s="19" t="s">
        <v>169</v>
      </c>
      <c r="C30" s="20" t="s">
        <v>117</v>
      </c>
      <c r="D30" s="33" t="s">
        <v>118</v>
      </c>
      <c r="E30" s="33"/>
      <c r="F30" s="33"/>
      <c r="G30" s="12"/>
      <c r="H30" s="19" t="s">
        <v>170</v>
      </c>
      <c r="I30" s="20" t="s">
        <v>117</v>
      </c>
      <c r="J30" s="33" t="s">
        <v>118</v>
      </c>
      <c r="K30" s="33"/>
      <c r="L30" s="33"/>
      <c r="M30" s="12"/>
      <c r="N30" s="12"/>
      <c r="O30" s="19" t="s">
        <v>171</v>
      </c>
      <c r="P30" s="20" t="s">
        <v>117</v>
      </c>
      <c r="Q30" s="33" t="s">
        <v>118</v>
      </c>
      <c r="R30" s="33"/>
      <c r="S30" s="33"/>
      <c r="T30" s="12"/>
      <c r="U30" s="12"/>
      <c r="V30" s="12"/>
      <c r="W30" s="19" t="s">
        <v>172</v>
      </c>
      <c r="X30" s="20" t="s">
        <v>117</v>
      </c>
      <c r="Y30" s="33" t="s">
        <v>118</v>
      </c>
      <c r="Z30" s="33"/>
      <c r="AA30" s="33"/>
      <c r="AB30" s="12"/>
      <c r="AC30" s="12"/>
      <c r="AD30" s="12"/>
    </row>
    <row r="31" spans="1:30" x14ac:dyDescent="0.2">
      <c r="B31" s="19"/>
      <c r="C31" s="20"/>
      <c r="D31" s="12"/>
      <c r="E31" s="12" t="s">
        <v>119</v>
      </c>
      <c r="F31" s="12"/>
      <c r="G31" s="12"/>
      <c r="H31" s="19"/>
      <c r="I31" s="20"/>
      <c r="J31" s="12"/>
      <c r="K31" s="12" t="s">
        <v>119</v>
      </c>
      <c r="L31" s="12"/>
      <c r="M31" s="12"/>
      <c r="N31" s="12"/>
      <c r="O31" s="19"/>
      <c r="P31" s="20"/>
      <c r="Q31" s="12"/>
      <c r="R31" s="12" t="s">
        <v>119</v>
      </c>
      <c r="S31" s="12"/>
      <c r="T31" s="12"/>
      <c r="U31" s="12"/>
      <c r="V31" s="12"/>
      <c r="W31" s="19"/>
      <c r="X31" s="20"/>
      <c r="Y31" s="12"/>
      <c r="Z31" s="12" t="s">
        <v>119</v>
      </c>
      <c r="AA31" s="12"/>
      <c r="AB31" s="12"/>
      <c r="AC31" s="12"/>
      <c r="AD31" s="12"/>
    </row>
    <row r="32" spans="1:30" x14ac:dyDescent="0.2">
      <c r="B32" s="19"/>
      <c r="C32" s="20"/>
      <c r="D32" s="12"/>
      <c r="E32" s="12"/>
      <c r="F32" s="12"/>
      <c r="G32" s="12"/>
      <c r="H32" s="19"/>
      <c r="I32" s="20"/>
      <c r="J32" s="12"/>
      <c r="K32" s="12"/>
      <c r="L32" s="12"/>
      <c r="M32" s="12"/>
      <c r="N32" s="12"/>
      <c r="O32" s="19"/>
      <c r="P32" s="20"/>
      <c r="Q32" s="12"/>
      <c r="R32" s="12"/>
      <c r="S32" s="12"/>
      <c r="T32" s="12"/>
      <c r="U32" s="12"/>
      <c r="V32" s="12"/>
      <c r="W32" s="19"/>
      <c r="X32" s="20"/>
      <c r="Y32" s="12"/>
      <c r="Z32" s="12"/>
      <c r="AA32" s="12"/>
      <c r="AB32" s="12"/>
      <c r="AC32" s="12"/>
      <c r="AD32" s="12"/>
    </row>
    <row r="33" spans="1:30" s="13" customFormat="1" x14ac:dyDescent="0.2">
      <c r="A33" s="110"/>
      <c r="B33" s="99"/>
      <c r="C33" s="99" t="s">
        <v>117</v>
      </c>
      <c r="D33" s="104" t="str">
        <f>_xlfn.CONCAT(TEXT($D$17,"0,0"), " - ",TEXT($D$16,"0,0"))</f>
        <v>275000000,0 - 271000000,0</v>
      </c>
      <c r="E33" s="102"/>
      <c r="F33" s="104"/>
      <c r="G33" s="102"/>
      <c r="H33" s="99"/>
      <c r="I33" s="99" t="s">
        <v>117</v>
      </c>
      <c r="J33" s="104" t="str">
        <f>_xlfn.CONCAT(TEXT($D$18,"0,0"), " - ",TEXT($D$17,"0,0"), " + ",TEXT($L$18,"0,0"))</f>
        <v>266000000,0 - 275000000,0 + 7000000,0</v>
      </c>
      <c r="K33" s="102"/>
      <c r="L33" s="104"/>
      <c r="M33" s="102"/>
      <c r="N33" s="102"/>
      <c r="O33" s="99"/>
      <c r="P33" s="99" t="s">
        <v>117</v>
      </c>
      <c r="Q33" s="104" t="str">
        <f>_xlfn.CONCAT(TEXT($D$19,"0,0"), " - ",TEXT($D$18,"0,0"), " - ",TEXT($L$19,"0,0"))</f>
        <v>293000000,0 - 266000000,0 - 25000000,0</v>
      </c>
      <c r="R33" s="102"/>
      <c r="S33" s="104"/>
      <c r="T33" s="102"/>
      <c r="U33" s="102"/>
      <c r="V33" s="102"/>
      <c r="W33" s="99"/>
      <c r="X33" s="99" t="s">
        <v>117</v>
      </c>
      <c r="Y33" s="104" t="str">
        <f>_xlfn.CONCAT(TEXT($D$20,"0,0"), " - ",TEXT($D$19,"0,0"), " + ",TEXT($L$20,"0,0"))</f>
        <v>290000000,0 - 293000000,0 + 7000000,0</v>
      </c>
      <c r="Z33" s="102"/>
      <c r="AA33" s="104"/>
      <c r="AB33" s="102"/>
      <c r="AC33" s="102"/>
      <c r="AD33" s="102"/>
    </row>
    <row r="34" spans="1:30" s="13" customFormat="1" x14ac:dyDescent="0.2">
      <c r="A34" s="110"/>
      <c r="B34" s="99"/>
      <c r="C34" s="99"/>
      <c r="D34" s="107" t="str">
        <f>_xlfn.CONCAT(TEXT($D$16,"0,0"))</f>
        <v>271000000,0</v>
      </c>
      <c r="E34" s="99"/>
      <c r="F34" s="99"/>
      <c r="G34" s="102"/>
      <c r="H34" s="99"/>
      <c r="I34" s="99"/>
      <c r="J34" s="99" t="str">
        <f>_xlfn.CONCAT(TEXT($D$17,"0,0"), " - (",TEXT($L$18,"0,0"), " * ","(",TEXT($I$18,"0,0")," - ",TEXT($K$18,"0,0"),") / ",TEXT($I$18,"0,0"),")")</f>
        <v>275000000,0 - (7000000,0 * (91,0 - 57,0) / 91,0)</v>
      </c>
      <c r="K34" s="99"/>
      <c r="L34" s="99"/>
      <c r="M34" s="102"/>
      <c r="N34" s="102"/>
      <c r="O34" s="99"/>
      <c r="P34" s="99"/>
      <c r="Q34" s="99" t="str">
        <f>_xlfn.CONCAT(TEXT($D$18,"0,0"), " + (",TEXT($L$19,"0,0"), " * ","(",TEXT($I$19,"0,0")," - ",TEXT($K$19,"0,0"),") / ",TEXT($I$19,"0,0"),")")</f>
        <v>266000000,0 + (25000000,0 * (92,0 - 84,0) / 92,0)</v>
      </c>
      <c r="R34" s="99"/>
      <c r="S34" s="99"/>
      <c r="T34" s="102"/>
      <c r="U34" s="102"/>
      <c r="V34" s="102"/>
      <c r="W34" s="99"/>
      <c r="X34" s="99"/>
      <c r="Y34" s="99" t="str">
        <f>_xlfn.CONCAT(TEXT($D$19,"0,0"), " - (",TEXT($L$20,"0,0"), " * ","(",TEXT($I$20,"0,0")," - ",TEXT($K$20,"0,0"),") / ",TEXT($I$20,"0,0"),")")</f>
        <v>293000000,0 - (7000000,0 * (92,0 - 39,0) / 92,0)</v>
      </c>
      <c r="Z34" s="99"/>
      <c r="AA34" s="99"/>
      <c r="AB34" s="102"/>
      <c r="AC34" s="102"/>
      <c r="AD34" s="102"/>
    </row>
    <row r="35" spans="1:30" s="13" customFormat="1" x14ac:dyDescent="0.2">
      <c r="A35" s="110"/>
      <c r="B35" s="99"/>
      <c r="C35" s="99"/>
      <c r="D35" s="99"/>
      <c r="E35" s="99"/>
      <c r="F35" s="99"/>
      <c r="G35" s="102"/>
      <c r="H35" s="99"/>
      <c r="I35" s="99"/>
      <c r="J35" s="99"/>
      <c r="K35" s="99"/>
      <c r="L35" s="99"/>
      <c r="M35" s="102"/>
      <c r="N35" s="102"/>
      <c r="O35" s="99"/>
      <c r="P35" s="99"/>
      <c r="Q35" s="99"/>
      <c r="R35" s="99"/>
      <c r="S35" s="99"/>
      <c r="T35" s="102"/>
      <c r="U35" s="102"/>
      <c r="V35" s="102"/>
      <c r="W35" s="99"/>
      <c r="X35" s="99"/>
      <c r="Y35" s="99"/>
      <c r="Z35" s="99"/>
      <c r="AA35" s="99"/>
      <c r="AB35" s="102"/>
      <c r="AC35" s="102"/>
      <c r="AD35" s="102"/>
    </row>
    <row r="36" spans="1:30" s="13" customFormat="1" x14ac:dyDescent="0.2">
      <c r="A36" s="110"/>
      <c r="B36" s="99"/>
      <c r="C36" s="99" t="s">
        <v>117</v>
      </c>
      <c r="D36" s="104">
        <f>$D$17 - $D$16</f>
        <v>4000000</v>
      </c>
      <c r="E36" s="99"/>
      <c r="F36" s="99"/>
      <c r="G36" s="102"/>
      <c r="H36" s="99"/>
      <c r="I36" s="99" t="s">
        <v>117</v>
      </c>
      <c r="J36" s="104">
        <f>$D$18 - $D$17 + $L$18</f>
        <v>-2000000</v>
      </c>
      <c r="K36" s="99"/>
      <c r="L36" s="99"/>
      <c r="M36" s="102"/>
      <c r="N36" s="102"/>
      <c r="O36" s="99"/>
      <c r="P36" s="99" t="s">
        <v>117</v>
      </c>
      <c r="Q36" s="104">
        <f>$D$19 - $D$18 - $L$19</f>
        <v>2000000</v>
      </c>
      <c r="R36" s="99"/>
      <c r="S36" s="99"/>
      <c r="T36" s="102"/>
      <c r="U36" s="102"/>
      <c r="V36" s="102"/>
      <c r="W36" s="99"/>
      <c r="X36" s="99" t="s">
        <v>117</v>
      </c>
      <c r="Y36" s="104">
        <f>$D$20 - $D$19 + $L$20</f>
        <v>4000000</v>
      </c>
      <c r="Z36" s="99"/>
      <c r="AA36" s="99"/>
      <c r="AB36" s="102"/>
      <c r="AC36" s="102"/>
      <c r="AD36" s="102"/>
    </row>
    <row r="37" spans="1:30" s="13" customFormat="1" x14ac:dyDescent="0.2">
      <c r="A37" s="110"/>
      <c r="B37" s="99"/>
      <c r="C37" s="99"/>
      <c r="D37" s="99">
        <f>$D$16</f>
        <v>271000000</v>
      </c>
      <c r="E37" s="99"/>
      <c r="F37" s="99"/>
      <c r="G37" s="102"/>
      <c r="H37" s="99"/>
      <c r="I37" s="99"/>
      <c r="J37" s="99">
        <f>$D$17 - ($L$18 * ($I$18 - $K$18) / $I$18)</f>
        <v>272384615.38461536</v>
      </c>
      <c r="K37" s="99"/>
      <c r="L37" s="99"/>
      <c r="M37" s="102"/>
      <c r="N37" s="102"/>
      <c r="O37" s="99"/>
      <c r="P37" s="99"/>
      <c r="Q37" s="99">
        <f>$D$18 + ($L$19 * ($I$19 - $K$19) / $I$19)</f>
        <v>268173913.04347825</v>
      </c>
      <c r="R37" s="99"/>
      <c r="S37" s="99"/>
      <c r="T37" s="102"/>
      <c r="U37" s="102"/>
      <c r="V37" s="102"/>
      <c r="W37" s="99"/>
      <c r="X37" s="99"/>
      <c r="Y37" s="99">
        <f>$D$19 - ($L$20 * ($I$20 - $K$20) / $I$20)</f>
        <v>288967391.30434781</v>
      </c>
      <c r="Z37" s="99"/>
      <c r="AA37" s="99"/>
      <c r="AB37" s="102"/>
      <c r="AC37" s="102"/>
      <c r="AD37" s="102"/>
    </row>
    <row r="38" spans="1:30" x14ac:dyDescent="0.2">
      <c r="B38" s="19"/>
      <c r="C38" s="20"/>
      <c r="D38" s="20"/>
      <c r="E38" s="20"/>
      <c r="F38" s="20"/>
      <c r="G38" s="12"/>
      <c r="H38" s="19"/>
      <c r="I38" s="20"/>
      <c r="J38" s="20"/>
      <c r="K38" s="20"/>
      <c r="L38" s="20"/>
      <c r="M38" s="12"/>
      <c r="N38" s="12"/>
      <c r="O38" s="19"/>
      <c r="P38" s="20"/>
      <c r="Q38" s="20"/>
      <c r="R38" s="20"/>
      <c r="S38" s="20"/>
      <c r="T38" s="12"/>
      <c r="U38" s="12"/>
      <c r="V38" s="12"/>
      <c r="W38" s="19"/>
      <c r="X38" s="20"/>
      <c r="Y38" s="20"/>
      <c r="Z38" s="20"/>
      <c r="AA38" s="20"/>
      <c r="AB38" s="12"/>
      <c r="AC38" s="12"/>
      <c r="AD38" s="12"/>
    </row>
    <row r="39" spans="1:30" x14ac:dyDescent="0.2">
      <c r="B39" s="26"/>
      <c r="C39" s="12" t="s">
        <v>117</v>
      </c>
      <c r="D39" s="25">
        <f>D36/D37</f>
        <v>1.4760147601476014E-2</v>
      </c>
      <c r="E39" s="20"/>
      <c r="F39" s="20"/>
      <c r="G39" s="12"/>
      <c r="H39" s="26"/>
      <c r="I39" s="12" t="s">
        <v>117</v>
      </c>
      <c r="J39" s="25">
        <f>J36/J37</f>
        <v>-7.3425585992657446E-3</v>
      </c>
      <c r="K39" s="20"/>
      <c r="L39" s="20"/>
      <c r="M39" s="12"/>
      <c r="N39" s="12"/>
      <c r="O39" s="26"/>
      <c r="P39" s="12" t="s">
        <v>117</v>
      </c>
      <c r="Q39" s="25">
        <f>Q36/Q37</f>
        <v>7.4578469520103765E-3</v>
      </c>
      <c r="R39" s="20"/>
      <c r="S39" s="20"/>
      <c r="T39" s="12"/>
      <c r="U39" s="12"/>
      <c r="V39" s="12"/>
      <c r="W39" s="26"/>
      <c r="X39" s="12" t="s">
        <v>117</v>
      </c>
      <c r="Y39" s="25">
        <f>Y36/Y37</f>
        <v>1.3842392326499907E-2</v>
      </c>
      <c r="Z39" s="20"/>
      <c r="AA39" s="20"/>
      <c r="AB39" s="12"/>
      <c r="AC39" s="12"/>
      <c r="AD39" s="12"/>
    </row>
    <row r="40" spans="1:30" x14ac:dyDescent="0.2">
      <c r="B40" s="26"/>
      <c r="C40" s="12"/>
      <c r="D40" s="25"/>
      <c r="E40" s="20"/>
      <c r="F40" s="20"/>
      <c r="G40" s="12"/>
      <c r="H40" s="26"/>
      <c r="I40" s="12"/>
      <c r="J40" s="25"/>
      <c r="K40" s="20"/>
      <c r="L40" s="20"/>
      <c r="M40" s="12"/>
      <c r="N40" s="12"/>
      <c r="O40" s="26"/>
      <c r="P40" s="12"/>
      <c r="Q40" s="25"/>
      <c r="R40" s="20"/>
      <c r="S40" s="20"/>
      <c r="T40" s="12"/>
      <c r="U40" s="12"/>
      <c r="V40" s="12"/>
      <c r="W40" s="26"/>
      <c r="X40" s="12"/>
      <c r="Y40" s="25"/>
      <c r="Z40" s="20"/>
      <c r="AA40" s="20"/>
      <c r="AB40" s="12"/>
      <c r="AC40" s="12"/>
      <c r="AD40" s="12"/>
    </row>
    <row r="41" spans="1:30" x14ac:dyDescent="0.2">
      <c r="B41" s="10"/>
    </row>
    <row r="42" spans="1:30" x14ac:dyDescent="0.2">
      <c r="B42" s="10"/>
    </row>
    <row r="43" spans="1:30" x14ac:dyDescent="0.2">
      <c r="B43" s="10"/>
    </row>
    <row r="44" spans="1:30" x14ac:dyDescent="0.2">
      <c r="B44" s="21" t="s">
        <v>115</v>
      </c>
      <c r="C44" s="22" t="s">
        <v>197</v>
      </c>
      <c r="D44" s="20"/>
      <c r="E44" s="20"/>
      <c r="F44" s="20"/>
      <c r="G44" s="12"/>
      <c r="H44" s="22" t="s">
        <v>198</v>
      </c>
      <c r="I44" s="12"/>
      <c r="J44" s="20"/>
      <c r="K44" s="20"/>
      <c r="L44" s="20"/>
      <c r="M44" s="12"/>
      <c r="N44" s="12"/>
      <c r="O44" s="22" t="s">
        <v>199</v>
      </c>
      <c r="P44" s="12"/>
      <c r="Q44" s="20"/>
      <c r="R44" s="20"/>
      <c r="S44" s="20"/>
      <c r="T44" s="12"/>
      <c r="U44" s="12"/>
      <c r="V44" s="12"/>
      <c r="W44" s="22" t="s">
        <v>200</v>
      </c>
      <c r="X44" s="12"/>
      <c r="Y44" s="20"/>
      <c r="Z44" s="20"/>
      <c r="AA44" s="20"/>
      <c r="AB44" s="12"/>
      <c r="AC44" s="12"/>
      <c r="AD44" s="12"/>
    </row>
    <row r="45" spans="1:30" x14ac:dyDescent="0.2">
      <c r="B45" s="19"/>
      <c r="C45" s="20"/>
      <c r="D45" s="20"/>
      <c r="E45" s="20"/>
      <c r="F45" s="20"/>
      <c r="G45" s="12"/>
      <c r="H45" s="19"/>
      <c r="I45" s="20"/>
      <c r="J45" s="20"/>
      <c r="K45" s="20"/>
      <c r="L45" s="20"/>
      <c r="M45" s="12"/>
      <c r="N45" s="12"/>
      <c r="O45" s="19"/>
      <c r="P45" s="20"/>
      <c r="Q45" s="20"/>
      <c r="R45" s="20"/>
      <c r="S45" s="20"/>
      <c r="T45" s="12"/>
      <c r="U45" s="12"/>
      <c r="V45" s="12"/>
      <c r="W45" s="19"/>
      <c r="X45" s="20"/>
      <c r="Y45" s="20"/>
      <c r="Z45" s="20"/>
      <c r="AA45" s="20"/>
      <c r="AB45" s="12"/>
      <c r="AC45" s="12"/>
      <c r="AD45" s="12"/>
    </row>
    <row r="46" spans="1:30" x14ac:dyDescent="0.2">
      <c r="B46" s="19" t="s">
        <v>177</v>
      </c>
      <c r="C46" s="20" t="s">
        <v>117</v>
      </c>
      <c r="D46" s="33" t="s">
        <v>121</v>
      </c>
      <c r="E46" s="33"/>
      <c r="F46" s="33"/>
      <c r="G46" s="12"/>
      <c r="H46" s="19" t="s">
        <v>178</v>
      </c>
      <c r="I46" s="20" t="s">
        <v>117</v>
      </c>
      <c r="J46" s="33" t="s">
        <v>121</v>
      </c>
      <c r="K46" s="33"/>
      <c r="L46" s="33"/>
      <c r="M46" s="12"/>
      <c r="N46" s="12"/>
      <c r="O46" s="19" t="s">
        <v>179</v>
      </c>
      <c r="P46" s="20" t="s">
        <v>117</v>
      </c>
      <c r="Q46" s="33" t="s">
        <v>121</v>
      </c>
      <c r="R46" s="33"/>
      <c r="S46" s="33"/>
      <c r="T46" s="12"/>
      <c r="U46" s="12"/>
      <c r="V46" s="12"/>
      <c r="W46" s="19" t="s">
        <v>180</v>
      </c>
      <c r="X46" s="20" t="s">
        <v>117</v>
      </c>
      <c r="Y46" s="33" t="s">
        <v>121</v>
      </c>
      <c r="Z46" s="33"/>
      <c r="AA46" s="33"/>
      <c r="AB46" s="12"/>
      <c r="AC46" s="12"/>
      <c r="AD46" s="12"/>
    </row>
    <row r="47" spans="1:30" x14ac:dyDescent="0.2">
      <c r="B47" s="19"/>
      <c r="C47" s="20"/>
      <c r="D47" s="12" t="s">
        <v>119</v>
      </c>
      <c r="E47" s="12"/>
      <c r="F47" s="12"/>
      <c r="G47" s="12"/>
      <c r="H47" s="19"/>
      <c r="I47" s="20"/>
      <c r="J47" s="12" t="s">
        <v>119</v>
      </c>
      <c r="K47" s="12"/>
      <c r="L47" s="12"/>
      <c r="M47" s="12"/>
      <c r="N47" s="12"/>
      <c r="O47" s="19"/>
      <c r="P47" s="20"/>
      <c r="Q47" s="12" t="s">
        <v>119</v>
      </c>
      <c r="R47" s="12"/>
      <c r="S47" s="12"/>
      <c r="T47" s="12"/>
      <c r="U47" s="12"/>
      <c r="V47" s="12"/>
      <c r="W47" s="19"/>
      <c r="X47" s="20"/>
      <c r="Y47" s="12" t="s">
        <v>119</v>
      </c>
      <c r="Z47" s="12"/>
      <c r="AA47" s="12"/>
      <c r="AB47" s="12"/>
      <c r="AC47" s="12"/>
      <c r="AD47" s="12"/>
    </row>
    <row r="48" spans="1:30" s="13" customFormat="1" x14ac:dyDescent="0.2">
      <c r="A48" s="110"/>
      <c r="B48" s="99"/>
      <c r="C48" s="99"/>
      <c r="D48" s="108"/>
      <c r="E48" s="99"/>
      <c r="F48" s="99"/>
      <c r="G48" s="102"/>
      <c r="H48" s="99"/>
      <c r="I48" s="99"/>
      <c r="J48" s="104"/>
      <c r="K48" s="99"/>
      <c r="L48" s="99"/>
      <c r="M48" s="102"/>
      <c r="N48" s="102"/>
      <c r="O48" s="99"/>
      <c r="P48" s="99"/>
      <c r="Q48" s="104"/>
      <c r="R48" s="99"/>
      <c r="S48" s="99"/>
      <c r="T48" s="102"/>
      <c r="U48" s="102"/>
      <c r="V48" s="102"/>
      <c r="W48" s="99"/>
      <c r="X48" s="99"/>
      <c r="Y48" s="104"/>
      <c r="Z48" s="99"/>
      <c r="AA48" s="99"/>
      <c r="AB48" s="102"/>
      <c r="AC48" s="102"/>
      <c r="AD48" s="102"/>
    </row>
    <row r="49" spans="1:30" s="13" customFormat="1" x14ac:dyDescent="0.2">
      <c r="A49" s="110"/>
      <c r="B49" s="99"/>
      <c r="C49" s="99" t="s">
        <v>117</v>
      </c>
      <c r="D49" s="104" t="str">
        <f>_xlfn.CONCAT(TEXT($D$17,"0,0"), " - ",TEXT($D$16,"0,0"))</f>
        <v>275000000,0 - 271000000,0</v>
      </c>
      <c r="E49" s="102"/>
      <c r="F49" s="104"/>
      <c r="G49" s="102"/>
      <c r="H49" s="99"/>
      <c r="I49" s="99" t="s">
        <v>117</v>
      </c>
      <c r="J49" s="104" t="str">
        <f>_xlfn.CONCAT(TEXT($D$18,"0,0"), " - ",TEXT($D$17,"0,0"))</f>
        <v>266000000,0 - 275000000,0</v>
      </c>
      <c r="K49" s="102"/>
      <c r="L49" s="104"/>
      <c r="M49" s="102"/>
      <c r="N49" s="102"/>
      <c r="O49" s="99"/>
      <c r="P49" s="99" t="s">
        <v>117</v>
      </c>
      <c r="Q49" s="104" t="str">
        <f>_xlfn.CONCAT(TEXT($D$19,"0,0"), " - ",TEXT($D$18,"0,0"), " - ",TEXT($L$19,"0,0"))</f>
        <v>293000000,0 - 266000000,0 - 25000000,0</v>
      </c>
      <c r="R49" s="102"/>
      <c r="S49" s="104"/>
      <c r="T49" s="102"/>
      <c r="U49" s="102"/>
      <c r="V49" s="102"/>
      <c r="W49" s="99"/>
      <c r="X49" s="99" t="s">
        <v>117</v>
      </c>
      <c r="Y49" s="104" t="str">
        <f>_xlfn.CONCAT(TEXT($D$20,"0,0"), " - ",TEXT($D$19,"0,0"))</f>
        <v>290000000,0 - 293000000,0</v>
      </c>
      <c r="Z49" s="102"/>
      <c r="AA49" s="104"/>
      <c r="AB49" s="102"/>
      <c r="AC49" s="102"/>
      <c r="AD49" s="102"/>
    </row>
    <row r="50" spans="1:30" s="13" customFormat="1" x14ac:dyDescent="0.2">
      <c r="A50" s="110"/>
      <c r="B50" s="99"/>
      <c r="C50" s="99"/>
      <c r="D50" s="107" t="str">
        <f>_xlfn.CONCAT(TEXT($D$16,"0,0"))</f>
        <v>271000000,0</v>
      </c>
      <c r="E50" s="99"/>
      <c r="F50" s="99"/>
      <c r="G50" s="102"/>
      <c r="H50" s="99"/>
      <c r="I50" s="99"/>
      <c r="J50" s="99" t="str">
        <f>_xlfn.CONCAT(TEXT($D$17,"0,0"), " - (",TEXT($L$18,"0,0"), " * ","(",TEXT($I$18,"0,0")," - ",TEXT($K$18,"0,0"),") / ",TEXT($I$18,"0,0"),")")</f>
        <v>275000000,0 - (7000000,0 * (91,0 - 57,0) / 91,0)</v>
      </c>
      <c r="K50" s="99"/>
      <c r="L50" s="99"/>
      <c r="M50" s="102"/>
      <c r="N50" s="102"/>
      <c r="O50" s="99"/>
      <c r="P50" s="99"/>
      <c r="Q50" s="99" t="str">
        <f>_xlfn.CONCAT(TEXT($D$18,"0,0"), " + (",TEXT($L$19,"0,0"), " * ","(",TEXT($I$19,"0,0")," - ",TEXT($K$19,"0,0"),") / ",TEXT($I$19,"0,0"),")")</f>
        <v>266000000,0 + (25000000,0 * (92,0 - 84,0) / 92,0)</v>
      </c>
      <c r="R50" s="99"/>
      <c r="S50" s="99"/>
      <c r="T50" s="102"/>
      <c r="U50" s="102"/>
      <c r="V50" s="102"/>
      <c r="W50" s="99"/>
      <c r="X50" s="99"/>
      <c r="Y50" s="99" t="str">
        <f>_xlfn.CONCAT(TEXT($D$19,"0,0"), " - (",TEXT($L$20,"0,0"), " * ","(",TEXT($I$20,"0,0")," - ",TEXT($K$20,"0,0"),") / ",TEXT($I$20,"0,0"),")")</f>
        <v>293000000,0 - (7000000,0 * (92,0 - 39,0) / 92,0)</v>
      </c>
      <c r="Z50" s="99"/>
      <c r="AA50" s="99"/>
      <c r="AB50" s="102"/>
      <c r="AC50" s="102"/>
      <c r="AD50" s="102"/>
    </row>
    <row r="51" spans="1:30" s="13" customFormat="1" x14ac:dyDescent="0.2">
      <c r="A51" s="110"/>
      <c r="B51" s="99"/>
      <c r="C51" s="99"/>
      <c r="D51" s="107"/>
      <c r="E51" s="99"/>
      <c r="F51" s="99"/>
      <c r="G51" s="102"/>
      <c r="H51" s="99"/>
      <c r="I51" s="99"/>
      <c r="J51" s="99"/>
      <c r="K51" s="99"/>
      <c r="L51" s="99"/>
      <c r="M51" s="102"/>
      <c r="N51" s="102"/>
      <c r="O51" s="99"/>
      <c r="P51" s="99"/>
      <c r="Q51" s="99"/>
      <c r="R51" s="99"/>
      <c r="S51" s="99"/>
      <c r="T51" s="102"/>
      <c r="U51" s="102"/>
      <c r="V51" s="102"/>
      <c r="W51" s="99"/>
      <c r="X51" s="99"/>
      <c r="Y51" s="99"/>
      <c r="Z51" s="99"/>
      <c r="AA51" s="99"/>
      <c r="AB51" s="102"/>
      <c r="AC51" s="102"/>
      <c r="AD51" s="102"/>
    </row>
    <row r="52" spans="1:30" s="13" customFormat="1" x14ac:dyDescent="0.2">
      <c r="A52" s="110"/>
      <c r="B52" s="99"/>
      <c r="C52" s="99" t="s">
        <v>117</v>
      </c>
      <c r="D52" s="108">
        <f>$D$17 - $D$16</f>
        <v>4000000</v>
      </c>
      <c r="E52" s="99"/>
      <c r="F52" s="99"/>
      <c r="G52" s="102"/>
      <c r="H52" s="99"/>
      <c r="I52" s="99" t="s">
        <v>117</v>
      </c>
      <c r="J52" s="104">
        <f>$D$18 - $D$17</f>
        <v>-9000000</v>
      </c>
      <c r="K52" s="99"/>
      <c r="L52" s="99"/>
      <c r="M52" s="102"/>
      <c r="N52" s="102"/>
      <c r="O52" s="99"/>
      <c r="P52" s="99" t="s">
        <v>117</v>
      </c>
      <c r="Q52" s="104">
        <f>$D$19 - $D$18 - $L$19</f>
        <v>2000000</v>
      </c>
      <c r="R52" s="99"/>
      <c r="S52" s="99"/>
      <c r="T52" s="102"/>
      <c r="U52" s="102"/>
      <c r="V52" s="102"/>
      <c r="W52" s="99"/>
      <c r="X52" s="99" t="s">
        <v>117</v>
      </c>
      <c r="Y52" s="104">
        <f>$D$20 - $D$19</f>
        <v>-3000000</v>
      </c>
      <c r="Z52" s="99"/>
      <c r="AA52" s="99"/>
      <c r="AB52" s="102"/>
      <c r="AC52" s="102"/>
      <c r="AD52" s="102"/>
    </row>
    <row r="53" spans="1:30" s="13" customFormat="1" x14ac:dyDescent="0.2">
      <c r="A53" s="110"/>
      <c r="B53" s="99"/>
      <c r="C53" s="99"/>
      <c r="D53" s="107">
        <f>$D$16</f>
        <v>271000000</v>
      </c>
      <c r="E53" s="99"/>
      <c r="F53" s="99"/>
      <c r="G53" s="102"/>
      <c r="H53" s="99"/>
      <c r="I53" s="99"/>
      <c r="J53" s="99">
        <f>$D$17 - ($L$18 * ($I$18 - $K$18) / $I$18)</f>
        <v>272384615.38461536</v>
      </c>
      <c r="K53" s="99"/>
      <c r="L53" s="99"/>
      <c r="M53" s="102"/>
      <c r="N53" s="102"/>
      <c r="O53" s="99"/>
      <c r="P53" s="99"/>
      <c r="Q53" s="99">
        <f>$D$18 + ($L$19 * ($I$19 - $K$19) / $I$19)</f>
        <v>268173913.04347825</v>
      </c>
      <c r="R53" s="99"/>
      <c r="S53" s="99"/>
      <c r="T53" s="102"/>
      <c r="U53" s="102"/>
      <c r="V53" s="102"/>
      <c r="W53" s="99"/>
      <c r="X53" s="99"/>
      <c r="Y53" s="99">
        <f>$D$19 - ($L$20 * ($I$20 - $K$20) / $I$20)</f>
        <v>288967391.30434781</v>
      </c>
      <c r="Z53" s="99"/>
      <c r="AA53" s="99"/>
      <c r="AB53" s="102"/>
      <c r="AC53" s="102"/>
      <c r="AD53" s="102"/>
    </row>
    <row r="54" spans="1:30" x14ac:dyDescent="0.2">
      <c r="B54" s="19"/>
      <c r="C54" s="20"/>
      <c r="D54" s="20"/>
      <c r="E54" s="20"/>
      <c r="F54" s="20"/>
      <c r="G54" s="12"/>
      <c r="H54" s="19"/>
      <c r="I54" s="20"/>
      <c r="J54" s="20"/>
      <c r="K54" s="20"/>
      <c r="L54" s="20"/>
      <c r="M54" s="12"/>
      <c r="N54" s="12"/>
      <c r="O54" s="19"/>
      <c r="P54" s="20"/>
      <c r="Q54" s="20"/>
      <c r="R54" s="20"/>
      <c r="S54" s="20"/>
      <c r="T54" s="12"/>
      <c r="U54" s="12"/>
      <c r="V54" s="12"/>
      <c r="W54" s="19"/>
      <c r="X54" s="20"/>
      <c r="Y54" s="20"/>
      <c r="Z54" s="20"/>
      <c r="AA54" s="20"/>
      <c r="AB54" s="12"/>
      <c r="AC54" s="12"/>
      <c r="AD54" s="12"/>
    </row>
    <row r="55" spans="1:30" x14ac:dyDescent="0.2">
      <c r="B55" s="26"/>
      <c r="C55" s="12" t="s">
        <v>117</v>
      </c>
      <c r="D55" s="25">
        <f>D52/D53</f>
        <v>1.4760147601476014E-2</v>
      </c>
      <c r="E55" s="20"/>
      <c r="F55" s="20"/>
      <c r="G55" s="12"/>
      <c r="H55" s="26"/>
      <c r="I55" s="12" t="s">
        <v>117</v>
      </c>
      <c r="J55" s="25">
        <f>J52/J53</f>
        <v>-3.3041513696695848E-2</v>
      </c>
      <c r="K55" s="20"/>
      <c r="L55" s="20"/>
      <c r="M55" s="12"/>
      <c r="N55" s="12"/>
      <c r="O55" s="26"/>
      <c r="P55" s="12" t="s">
        <v>117</v>
      </c>
      <c r="Q55" s="25">
        <f>Q52/Q53</f>
        <v>7.4578469520103765E-3</v>
      </c>
      <c r="R55" s="20"/>
      <c r="S55" s="20"/>
      <c r="T55" s="12"/>
      <c r="U55" s="12"/>
      <c r="V55" s="12"/>
      <c r="W55" s="26"/>
      <c r="X55" s="12" t="s">
        <v>117</v>
      </c>
      <c r="Y55" s="25">
        <f>Y52/Y53</f>
        <v>-1.0381794244874929E-2</v>
      </c>
      <c r="Z55" s="20"/>
      <c r="AA55" s="20"/>
      <c r="AB55" s="12"/>
      <c r="AC55" s="12"/>
      <c r="AD55" s="12"/>
    </row>
    <row r="56" spans="1:30" x14ac:dyDescent="0.2">
      <c r="B56" s="26"/>
      <c r="C56" s="12"/>
      <c r="D56" s="25"/>
      <c r="E56" s="20"/>
      <c r="F56" s="20"/>
      <c r="G56" s="12"/>
      <c r="H56" s="26"/>
      <c r="I56" s="12"/>
      <c r="J56" s="25"/>
      <c r="K56" s="20"/>
      <c r="L56" s="20"/>
      <c r="M56" s="12"/>
      <c r="N56" s="12"/>
      <c r="O56" s="26"/>
      <c r="P56" s="12"/>
      <c r="Q56" s="25"/>
      <c r="R56" s="20"/>
      <c r="S56" s="20"/>
      <c r="T56" s="12"/>
      <c r="U56" s="12"/>
      <c r="V56" s="12"/>
      <c r="W56" s="26"/>
      <c r="X56" s="12"/>
      <c r="Y56" s="25"/>
      <c r="Z56" s="20"/>
      <c r="AA56" s="20"/>
      <c r="AB56" s="12"/>
      <c r="AC56" s="12"/>
      <c r="AD56" s="12"/>
    </row>
    <row r="57" spans="1:30" x14ac:dyDescent="0.2">
      <c r="B57" s="10"/>
    </row>
    <row r="58" spans="1:30" x14ac:dyDescent="0.2">
      <c r="B58" s="10"/>
    </row>
    <row r="59" spans="1:30" x14ac:dyDescent="0.2">
      <c r="B59" s="10"/>
    </row>
    <row r="60" spans="1:30" x14ac:dyDescent="0.2">
      <c r="B60" s="21" t="s">
        <v>115</v>
      </c>
      <c r="C60" s="22" t="s">
        <v>201</v>
      </c>
      <c r="D60" s="20"/>
      <c r="E60" s="20"/>
      <c r="F60" s="20"/>
      <c r="G60" s="12"/>
      <c r="H60" s="22" t="s">
        <v>202</v>
      </c>
      <c r="I60" s="12"/>
      <c r="J60" s="20"/>
      <c r="K60" s="20"/>
      <c r="L60" s="20"/>
      <c r="M60" s="12"/>
      <c r="N60" s="12"/>
      <c r="O60" s="22" t="s">
        <v>203</v>
      </c>
      <c r="P60" s="12"/>
      <c r="Q60" s="20"/>
      <c r="R60" s="20"/>
      <c r="S60" s="20"/>
      <c r="T60" s="12"/>
      <c r="U60" s="12"/>
      <c r="V60" s="12"/>
      <c r="W60" s="22" t="s">
        <v>204</v>
      </c>
      <c r="X60" s="12"/>
      <c r="Y60" s="20"/>
      <c r="Z60" s="20"/>
      <c r="AA60" s="20"/>
      <c r="AB60" s="12"/>
      <c r="AC60" s="12"/>
      <c r="AD60" s="12"/>
    </row>
    <row r="61" spans="1:30" x14ac:dyDescent="0.2">
      <c r="B61" s="19"/>
      <c r="C61" s="20"/>
      <c r="D61" s="20"/>
      <c r="E61" s="20"/>
      <c r="F61" s="20"/>
      <c r="G61" s="12"/>
      <c r="H61" s="19"/>
      <c r="I61" s="20"/>
      <c r="J61" s="20"/>
      <c r="K61" s="20"/>
      <c r="L61" s="20"/>
      <c r="M61" s="12"/>
      <c r="N61" s="12"/>
      <c r="O61" s="19"/>
      <c r="P61" s="20"/>
      <c r="Q61" s="20"/>
      <c r="R61" s="20"/>
      <c r="S61" s="20"/>
      <c r="T61" s="12"/>
      <c r="U61" s="12"/>
      <c r="V61" s="12"/>
      <c r="W61" s="19"/>
      <c r="X61" s="20"/>
      <c r="Y61" s="20"/>
      <c r="Z61" s="20"/>
      <c r="AA61" s="20"/>
      <c r="AB61" s="12"/>
      <c r="AC61" s="12"/>
      <c r="AD61" s="12"/>
    </row>
    <row r="62" spans="1:30" x14ac:dyDescent="0.2">
      <c r="B62" s="19" t="s">
        <v>185</v>
      </c>
      <c r="C62" s="20" t="s">
        <v>117</v>
      </c>
      <c r="D62" s="63" t="s">
        <v>123</v>
      </c>
      <c r="E62" s="33"/>
      <c r="F62" s="33"/>
      <c r="G62" s="12"/>
      <c r="H62" s="19" t="s">
        <v>186</v>
      </c>
      <c r="I62" s="20" t="s">
        <v>117</v>
      </c>
      <c r="J62" s="63" t="s">
        <v>123</v>
      </c>
      <c r="K62" s="33"/>
      <c r="L62" s="33"/>
      <c r="M62" s="12"/>
      <c r="N62" s="12"/>
      <c r="O62" s="19" t="s">
        <v>187</v>
      </c>
      <c r="P62" s="20" t="s">
        <v>117</v>
      </c>
      <c r="Q62" s="63" t="s">
        <v>123</v>
      </c>
      <c r="R62" s="33"/>
      <c r="S62" s="33"/>
      <c r="T62" s="12"/>
      <c r="U62" s="12"/>
      <c r="V62" s="12"/>
      <c r="W62" s="19" t="s">
        <v>188</v>
      </c>
      <c r="X62" s="20" t="s">
        <v>117</v>
      </c>
      <c r="Y62" s="63" t="s">
        <v>123</v>
      </c>
      <c r="Z62" s="33"/>
      <c r="AA62" s="33"/>
      <c r="AB62" s="12"/>
      <c r="AC62" s="12"/>
      <c r="AD62" s="12"/>
    </row>
    <row r="63" spans="1:30" x14ac:dyDescent="0.2">
      <c r="B63" s="19"/>
      <c r="C63" s="20"/>
      <c r="D63" s="12" t="s">
        <v>119</v>
      </c>
      <c r="E63" s="12"/>
      <c r="F63" s="12"/>
      <c r="G63" s="12"/>
      <c r="H63" s="19"/>
      <c r="I63" s="20"/>
      <c r="J63" s="12" t="s">
        <v>119</v>
      </c>
      <c r="K63" s="12"/>
      <c r="L63" s="12"/>
      <c r="M63" s="12"/>
      <c r="N63" s="12"/>
      <c r="O63" s="19"/>
      <c r="P63" s="20"/>
      <c r="Q63" s="12" t="s">
        <v>119</v>
      </c>
      <c r="R63" s="12"/>
      <c r="S63" s="12"/>
      <c r="T63" s="12"/>
      <c r="U63" s="12"/>
      <c r="V63" s="12"/>
      <c r="W63" s="19"/>
      <c r="X63" s="20"/>
      <c r="Y63" s="12" t="s">
        <v>119</v>
      </c>
      <c r="Z63" s="12"/>
      <c r="AA63" s="12"/>
      <c r="AB63" s="12"/>
      <c r="AC63" s="12"/>
      <c r="AD63" s="12"/>
    </row>
    <row r="64" spans="1:30" x14ac:dyDescent="0.2">
      <c r="B64" s="19"/>
      <c r="C64" s="20"/>
      <c r="D64" s="12"/>
      <c r="E64" s="12"/>
      <c r="F64" s="12"/>
      <c r="G64" s="12"/>
      <c r="H64" s="19"/>
      <c r="I64" s="20"/>
      <c r="J64" s="12"/>
      <c r="K64" s="12"/>
      <c r="L64" s="12"/>
      <c r="M64" s="12"/>
      <c r="N64" s="12"/>
      <c r="O64" s="19"/>
      <c r="P64" s="20"/>
      <c r="Q64" s="12"/>
      <c r="R64" s="12"/>
      <c r="S64" s="12"/>
      <c r="T64" s="12"/>
      <c r="U64" s="12"/>
      <c r="V64" s="12"/>
      <c r="W64" s="19"/>
      <c r="X64" s="20"/>
      <c r="Y64" s="12"/>
      <c r="Z64" s="12"/>
      <c r="AA64" s="12"/>
      <c r="AB64" s="12"/>
      <c r="AC64" s="12"/>
      <c r="AD64" s="12"/>
    </row>
    <row r="65" spans="1:30" s="13" customFormat="1" x14ac:dyDescent="0.2">
      <c r="A65" s="110"/>
      <c r="B65" s="99"/>
      <c r="C65" s="99" t="s">
        <v>117</v>
      </c>
      <c r="D65" s="108">
        <v>0</v>
      </c>
      <c r="E65" s="99"/>
      <c r="F65" s="99"/>
      <c r="G65" s="102"/>
      <c r="H65" s="99"/>
      <c r="I65" s="99" t="s">
        <v>117</v>
      </c>
      <c r="J65" s="104">
        <f>L18</f>
        <v>7000000</v>
      </c>
      <c r="K65" s="99"/>
      <c r="L65" s="99"/>
      <c r="M65" s="102"/>
      <c r="N65" s="102"/>
      <c r="O65" s="99"/>
      <c r="P65" s="99" t="s">
        <v>117</v>
      </c>
      <c r="Q65" s="104">
        <f>0</f>
        <v>0</v>
      </c>
      <c r="R65" s="99"/>
      <c r="S65" s="99"/>
      <c r="T65" s="102"/>
      <c r="U65" s="102"/>
      <c r="V65" s="102"/>
      <c r="W65" s="99"/>
      <c r="X65" s="99" t="s">
        <v>117</v>
      </c>
      <c r="Y65" s="104">
        <f>L20</f>
        <v>7000000</v>
      </c>
      <c r="Z65" s="99"/>
      <c r="AA65" s="99"/>
      <c r="AB65" s="102"/>
      <c r="AC65" s="102"/>
      <c r="AD65" s="102"/>
    </row>
    <row r="66" spans="1:30" s="13" customFormat="1" x14ac:dyDescent="0.2">
      <c r="A66" s="110"/>
      <c r="B66" s="99"/>
      <c r="C66" s="99"/>
      <c r="D66" s="107" t="str">
        <f>_xlfn.CONCAT(TEXT($D$16,"0,0"))</f>
        <v>271000000,0</v>
      </c>
      <c r="E66" s="99"/>
      <c r="F66" s="99"/>
      <c r="G66" s="102"/>
      <c r="H66" s="99"/>
      <c r="I66" s="99"/>
      <c r="J66" s="99" t="str">
        <f>_xlfn.CONCAT(TEXT($D$17,"0,0"), " - (",TEXT($L$18,"0,0"), " * ","(",TEXT($I$18,"0,0")," - ",TEXT($K$18,"0,0"),") / ",TEXT($I$18,"0,0"),")")</f>
        <v>275000000,0 - (7000000,0 * (91,0 - 57,0) / 91,0)</v>
      </c>
      <c r="K66" s="99"/>
      <c r="L66" s="99"/>
      <c r="M66" s="102"/>
      <c r="N66" s="102"/>
      <c r="O66" s="99"/>
      <c r="P66" s="99"/>
      <c r="Q66" s="99" t="str">
        <f>_xlfn.CONCAT(TEXT($D$18,"0,0"), " + (",TEXT($L$19,"0,0"), " * ","(",TEXT($I$19,"0,0")," - ",TEXT($K$19,"0,0"),") / ",TEXT($I$19,"0,0"),")")</f>
        <v>266000000,0 + (25000000,0 * (92,0 - 84,0) / 92,0)</v>
      </c>
      <c r="R66" s="99"/>
      <c r="S66" s="99"/>
      <c r="T66" s="102"/>
      <c r="U66" s="102"/>
      <c r="V66" s="102"/>
      <c r="W66" s="99"/>
      <c r="X66" s="99"/>
      <c r="Y66" s="99" t="str">
        <f>_xlfn.CONCAT(TEXT($D$19,"0,0"), " - (",TEXT($L$20,"0,0"), " * ","(",TEXT($I$20,"0,0")," - ",TEXT($K$20,"0,0"),") / ",TEXT($I$20,"0,0"),")")</f>
        <v>293000000,0 - (7000000,0 * (92,0 - 39,0) / 92,0)</v>
      </c>
      <c r="Z66" s="99"/>
      <c r="AA66" s="99"/>
      <c r="AB66" s="102"/>
      <c r="AC66" s="102"/>
      <c r="AD66" s="102"/>
    </row>
    <row r="67" spans="1:30" x14ac:dyDescent="0.2">
      <c r="B67" s="19"/>
      <c r="C67" s="20"/>
      <c r="D67" s="20"/>
      <c r="E67" s="20"/>
      <c r="F67" s="20"/>
      <c r="G67" s="12"/>
      <c r="H67" s="19"/>
      <c r="I67" s="20"/>
      <c r="J67" s="20"/>
      <c r="K67" s="20"/>
      <c r="L67" s="20"/>
      <c r="M67" s="12"/>
      <c r="N67" s="12"/>
      <c r="O67" s="19"/>
      <c r="P67" s="20"/>
      <c r="Q67" s="20"/>
      <c r="R67" s="20"/>
      <c r="S67" s="20"/>
      <c r="T67" s="12"/>
      <c r="U67" s="12"/>
      <c r="V67" s="12"/>
      <c r="W67" s="19"/>
      <c r="X67" s="20"/>
      <c r="Y67" s="20"/>
      <c r="Z67" s="20"/>
      <c r="AA67" s="20"/>
      <c r="AB67" s="12"/>
      <c r="AC67" s="12"/>
      <c r="AD67" s="12"/>
    </row>
    <row r="68" spans="1:30" s="13" customFormat="1" x14ac:dyDescent="0.2">
      <c r="A68" s="110"/>
      <c r="B68" s="99"/>
      <c r="C68" s="99" t="s">
        <v>117</v>
      </c>
      <c r="D68" s="108">
        <v>0</v>
      </c>
      <c r="E68" s="99"/>
      <c r="F68" s="99"/>
      <c r="G68" s="102"/>
      <c r="H68" s="99"/>
      <c r="I68" s="99" t="s">
        <v>117</v>
      </c>
      <c r="J68" s="104">
        <f>L18</f>
        <v>7000000</v>
      </c>
      <c r="K68" s="99"/>
      <c r="L68" s="99"/>
      <c r="M68" s="102"/>
      <c r="N68" s="102"/>
      <c r="O68" s="99"/>
      <c r="P68" s="99" t="s">
        <v>117</v>
      </c>
      <c r="Q68" s="108">
        <v>0</v>
      </c>
      <c r="R68" s="99"/>
      <c r="S68" s="99"/>
      <c r="T68" s="102"/>
      <c r="U68" s="102"/>
      <c r="V68" s="102"/>
      <c r="W68" s="99"/>
      <c r="X68" s="99" t="s">
        <v>117</v>
      </c>
      <c r="Y68" s="104">
        <f>L20</f>
        <v>7000000</v>
      </c>
      <c r="Z68" s="99"/>
      <c r="AA68" s="99"/>
      <c r="AB68" s="102"/>
      <c r="AC68" s="102"/>
      <c r="AD68" s="102"/>
    </row>
    <row r="69" spans="1:30" s="13" customFormat="1" x14ac:dyDescent="0.2">
      <c r="A69" s="110"/>
      <c r="B69" s="99"/>
      <c r="C69" s="99"/>
      <c r="D69" s="107" t="str">
        <f>_xlfn.CONCAT(TEXT($D$16,"0,0"))</f>
        <v>271000000,0</v>
      </c>
      <c r="E69" s="99"/>
      <c r="F69" s="99"/>
      <c r="G69" s="102"/>
      <c r="H69" s="99"/>
      <c r="I69" s="99"/>
      <c r="J69" s="99">
        <f>$D$17 - ($L$18 * ($I$18 - $K$18) / $I$18)</f>
        <v>272384615.38461536</v>
      </c>
      <c r="K69" s="99"/>
      <c r="L69" s="99"/>
      <c r="M69" s="102"/>
      <c r="N69" s="102"/>
      <c r="O69" s="99"/>
      <c r="P69" s="99"/>
      <c r="Q69" s="107">
        <f>$D$18 + ($L$19 * ($I$19 - $K$19) / $I$19)</f>
        <v>268173913.04347825</v>
      </c>
      <c r="R69" s="99"/>
      <c r="S69" s="99"/>
      <c r="T69" s="102"/>
      <c r="U69" s="102"/>
      <c r="V69" s="102"/>
      <c r="W69" s="99"/>
      <c r="X69" s="99"/>
      <c r="Y69" s="99">
        <f>$D$19 - ($L$20 * ($I$20 - $K$20) / $I$20)</f>
        <v>288967391.30434781</v>
      </c>
      <c r="Z69" s="99"/>
      <c r="AA69" s="99"/>
      <c r="AB69" s="102"/>
      <c r="AC69" s="102"/>
      <c r="AD69" s="102"/>
    </row>
    <row r="70" spans="1:30" x14ac:dyDescent="0.2">
      <c r="B70" s="19"/>
      <c r="C70" s="20"/>
      <c r="D70" s="20"/>
      <c r="E70" s="20"/>
      <c r="F70" s="20"/>
      <c r="G70" s="12"/>
      <c r="H70" s="19"/>
      <c r="I70" s="20"/>
      <c r="J70" s="20"/>
      <c r="K70" s="20"/>
      <c r="L70" s="20"/>
      <c r="M70" s="12"/>
      <c r="N70" s="12"/>
      <c r="O70" s="19"/>
      <c r="P70" s="20"/>
      <c r="Q70" s="20"/>
      <c r="R70" s="20"/>
      <c r="S70" s="20"/>
      <c r="T70" s="12"/>
      <c r="U70" s="12"/>
      <c r="V70" s="12"/>
      <c r="W70" s="19"/>
      <c r="X70" s="20"/>
      <c r="Y70" s="20"/>
      <c r="Z70" s="20"/>
      <c r="AA70" s="20"/>
      <c r="AB70" s="12"/>
      <c r="AC70" s="12"/>
      <c r="AD70" s="12"/>
    </row>
    <row r="71" spans="1:30" x14ac:dyDescent="0.2">
      <c r="B71" s="26"/>
      <c r="C71" s="12" t="s">
        <v>117</v>
      </c>
      <c r="D71" s="25">
        <f>D68/D69</f>
        <v>0</v>
      </c>
      <c r="E71" s="20"/>
      <c r="F71" s="20"/>
      <c r="G71" s="12"/>
      <c r="H71" s="26"/>
      <c r="I71" s="12" t="s">
        <v>117</v>
      </c>
      <c r="J71" s="25">
        <f>J68/J69</f>
        <v>2.5698955097430108E-2</v>
      </c>
      <c r="K71" s="20"/>
      <c r="L71" s="20"/>
      <c r="M71" s="12"/>
      <c r="N71" s="12"/>
      <c r="O71" s="26"/>
      <c r="P71" s="12" t="s">
        <v>117</v>
      </c>
      <c r="Q71" s="25">
        <f>Q68/Q69</f>
        <v>0</v>
      </c>
      <c r="R71" s="20"/>
      <c r="S71" s="20"/>
      <c r="T71" s="12"/>
      <c r="U71" s="12"/>
      <c r="V71" s="12"/>
      <c r="W71" s="26"/>
      <c r="X71" s="12" t="s">
        <v>117</v>
      </c>
      <c r="Y71" s="25">
        <f>Y68/Y69</f>
        <v>2.4224186571374838E-2</v>
      </c>
      <c r="Z71" s="20"/>
      <c r="AA71" s="20"/>
      <c r="AB71" s="12"/>
      <c r="AC71" s="12"/>
      <c r="AD71" s="12"/>
    </row>
    <row r="72" spans="1:30" x14ac:dyDescent="0.2">
      <c r="B72" s="26"/>
      <c r="C72" s="12"/>
      <c r="D72" s="25"/>
      <c r="E72" s="20"/>
      <c r="F72" s="20"/>
      <c r="G72" s="12"/>
      <c r="H72" s="26"/>
      <c r="I72" s="12"/>
      <c r="J72" s="25"/>
      <c r="K72" s="20"/>
      <c r="L72" s="20"/>
      <c r="M72" s="12"/>
      <c r="N72" s="12"/>
      <c r="O72" s="26"/>
      <c r="P72" s="12"/>
      <c r="Q72" s="25"/>
      <c r="R72" s="20"/>
      <c r="S72" s="20"/>
      <c r="T72" s="12"/>
      <c r="U72" s="12"/>
      <c r="V72" s="12"/>
      <c r="W72" s="26"/>
      <c r="X72" s="12"/>
      <c r="Y72" s="25"/>
      <c r="Z72" s="20"/>
      <c r="AA72" s="20"/>
      <c r="AB72" s="12"/>
      <c r="AC72" s="12"/>
      <c r="AD72" s="12"/>
    </row>
  </sheetData>
  <mergeCells count="3">
    <mergeCell ref="F4:G6"/>
    <mergeCell ref="H1:L1"/>
    <mergeCell ref="U20:V22"/>
  </mergeCells>
  <hyperlinks>
    <hyperlink ref="H1:L1" location="'Table of Contents'!A1" display="Back to Table of Contents" xr:uid="{741B6129-0104-4390-8918-EF562F4F2C6E}"/>
    <hyperlink ref="U20:V22" r:id="rId1" location="inrev-guidelines" display="For more information about Performance Measurement visit the INREV Guidelines on Performance Measurement." xr:uid="{EB640CFE-4BC1-4D8C-AD6E-4EE08C1C497E}"/>
  </hyperlinks>
  <pageMargins left="0.7" right="0.7" top="0.75" bottom="0.75" header="0.3" footer="0.3"/>
  <pageSetup paperSize="9" orientation="portrait"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0A4FA-96E7-48CD-AAC2-E500814B6E2E}">
  <sheetPr>
    <tabColor theme="5"/>
  </sheetPr>
  <dimension ref="A1:AD72"/>
  <sheetViews>
    <sheetView showGridLines="0" zoomScaleNormal="100" zoomScalePageLayoutView="85" workbookViewId="0">
      <pane ySplit="6" topLeftCell="A7" activePane="bottomLeft" state="frozen"/>
      <selection activeCell="B9" sqref="B9"/>
      <selection pane="bottomLeft"/>
    </sheetView>
  </sheetViews>
  <sheetFormatPr defaultColWidth="8.7109375" defaultRowHeight="12.75" x14ac:dyDescent="0.2"/>
  <cols>
    <col min="1" max="1" width="7.28515625" style="7" customWidth="1"/>
    <col min="2" max="2" width="22.28515625" customWidth="1"/>
    <col min="3" max="6" width="17.7109375" customWidth="1"/>
    <col min="7" max="7" width="9.7109375" customWidth="1"/>
    <col min="8" max="8" width="17.7109375" customWidth="1"/>
    <col min="9" max="9" width="10.7109375" bestFit="1" customWidth="1"/>
    <col min="10" max="10" width="15" bestFit="1" customWidth="1"/>
    <col min="11" max="11" width="12.140625" customWidth="1"/>
    <col min="12" max="12" width="15.7109375" customWidth="1"/>
    <col min="14" max="14" width="21.7109375" bestFit="1" customWidth="1"/>
    <col min="15" max="15" width="15.28515625" customWidth="1"/>
    <col min="16" max="18" width="13.7109375" customWidth="1"/>
    <col min="22" max="22" width="46.28515625" bestFit="1" customWidth="1"/>
    <col min="23" max="23" width="15.42578125" customWidth="1"/>
    <col min="25" max="25" width="12" customWidth="1"/>
  </cols>
  <sheetData>
    <row r="1" spans="1:22" s="1" customFormat="1" ht="34.9" customHeight="1" x14ac:dyDescent="0.2">
      <c r="A1" s="6"/>
      <c r="B1" s="2" t="str">
        <f ca="1">MID(CELL("filename",A1),FIND("]",CELL("filename",A1))+ 1,255)&amp;" - calculation example"</f>
        <v>Quarterly return 2012 - calculation example</v>
      </c>
      <c r="H1" s="181" t="s">
        <v>68</v>
      </c>
      <c r="I1" s="181"/>
      <c r="J1" s="181"/>
      <c r="K1" s="181"/>
      <c r="L1" s="181"/>
    </row>
    <row r="3" spans="1:22" x14ac:dyDescent="0.2">
      <c r="A3"/>
    </row>
    <row r="4" spans="1:22" ht="13.15" customHeight="1" x14ac:dyDescent="0.2">
      <c r="A4"/>
      <c r="B4" s="12" t="s">
        <v>69</v>
      </c>
      <c r="C4" s="12" t="s">
        <v>70</v>
      </c>
      <c r="F4" s="180" t="s">
        <v>71</v>
      </c>
      <c r="G4" s="180"/>
    </row>
    <row r="5" spans="1:22" x14ac:dyDescent="0.2">
      <c r="A5"/>
      <c r="B5" s="12" t="s">
        <v>72</v>
      </c>
      <c r="C5" s="12" t="s">
        <v>73</v>
      </c>
      <c r="F5" s="180"/>
      <c r="G5" s="180"/>
    </row>
    <row r="6" spans="1:22" x14ac:dyDescent="0.2">
      <c r="A6"/>
      <c r="B6" s="12" t="s">
        <v>74</v>
      </c>
      <c r="C6" s="12" t="s">
        <v>75</v>
      </c>
      <c r="F6" s="180"/>
      <c r="G6" s="180"/>
    </row>
    <row r="7" spans="1:22" x14ac:dyDescent="0.2">
      <c r="A7"/>
    </row>
    <row r="8" spans="1:22" x14ac:dyDescent="0.2">
      <c r="A8"/>
    </row>
    <row r="9" spans="1:22" x14ac:dyDescent="0.2">
      <c r="A9"/>
    </row>
    <row r="10" spans="1:22" x14ac:dyDescent="0.2">
      <c r="A10"/>
      <c r="B10" s="3" t="s">
        <v>76</v>
      </c>
      <c r="F10" s="3" t="s">
        <v>77</v>
      </c>
      <c r="N10" s="3" t="s">
        <v>78</v>
      </c>
    </row>
    <row r="11" spans="1:22" x14ac:dyDescent="0.2">
      <c r="A11"/>
      <c r="B11" s="4" t="s">
        <v>79</v>
      </c>
      <c r="C11" s="4" t="s">
        <v>80</v>
      </c>
      <c r="D11" s="4" t="s">
        <v>81</v>
      </c>
      <c r="F11" s="4" t="s">
        <v>82</v>
      </c>
      <c r="G11" s="4" t="s">
        <v>79</v>
      </c>
      <c r="H11" s="4" t="s">
        <v>80</v>
      </c>
      <c r="I11" s="4" t="s">
        <v>160</v>
      </c>
      <c r="J11" s="4" t="s">
        <v>83</v>
      </c>
      <c r="K11" s="4" t="s">
        <v>84</v>
      </c>
      <c r="L11" s="4" t="s">
        <v>85</v>
      </c>
      <c r="M11" s="4" t="s">
        <v>86</v>
      </c>
      <c r="O11" s="56"/>
      <c r="P11" s="4" t="s">
        <v>205</v>
      </c>
      <c r="Q11" s="4" t="s">
        <v>206</v>
      </c>
      <c r="R11" s="4" t="s">
        <v>207</v>
      </c>
      <c r="S11" s="4" t="s">
        <v>208</v>
      </c>
      <c r="U11" s="128" t="s">
        <v>87</v>
      </c>
      <c r="V11" s="122"/>
    </row>
    <row r="12" spans="1:22" s="29" customFormat="1" x14ac:dyDescent="0.2">
      <c r="B12" s="29">
        <v>2009</v>
      </c>
      <c r="C12" s="29">
        <v>4</v>
      </c>
      <c r="D12" s="30">
        <v>150000000</v>
      </c>
      <c r="F12" s="31">
        <v>40220</v>
      </c>
      <c r="G12" s="29">
        <f t="shared" ref="G12:G24" si="0">YEAR(F12)</f>
        <v>2010</v>
      </c>
      <c r="H12" s="29">
        <f t="shared" ref="H12:H24" si="1">ROUNDUP(MONTH(F12)/3,0)</f>
        <v>1</v>
      </c>
      <c r="I12" s="32">
        <f t="shared" ref="I12:I24" si="2">(EOMONTH(DATE(YEAR(F12),H12*3,1),0))-EOMONTH(DATE(G12,H12*3,1),-3)</f>
        <v>90</v>
      </c>
      <c r="J12" s="32">
        <f t="shared" ref="J12:J24" si="3">F12-DATE(YEAR(F12)-1,12,31)</f>
        <v>42</v>
      </c>
      <c r="K12" s="32">
        <f t="shared" ref="K12:K24" si="4">F12-EOMONTH(DATE(G12,H12*3,1),-3)</f>
        <v>42</v>
      </c>
      <c r="L12" s="30">
        <v>26000000</v>
      </c>
      <c r="M12" s="29" t="s">
        <v>88</v>
      </c>
      <c r="O12" s="29" t="s">
        <v>89</v>
      </c>
      <c r="P12" s="61">
        <f>D39</f>
        <v>2.4248191853825655E-2</v>
      </c>
      <c r="Q12" s="61">
        <f>J39</f>
        <v>4.662055842207341E-2</v>
      </c>
      <c r="R12" s="61">
        <f>Q39</f>
        <v>3.0769230769230769E-3</v>
      </c>
      <c r="S12" s="61">
        <f>Y39</f>
        <v>6.226312939902545E-3</v>
      </c>
      <c r="U12" s="123"/>
      <c r="V12" s="124"/>
    </row>
    <row r="13" spans="1:22" s="29" customFormat="1" x14ac:dyDescent="0.2">
      <c r="B13" s="29">
        <v>2010</v>
      </c>
      <c r="C13" s="29">
        <v>1</v>
      </c>
      <c r="D13" s="30">
        <v>175000000</v>
      </c>
      <c r="F13" s="31">
        <v>40305</v>
      </c>
      <c r="G13" s="29">
        <f t="shared" si="0"/>
        <v>2010</v>
      </c>
      <c r="H13" s="29">
        <f t="shared" si="1"/>
        <v>2</v>
      </c>
      <c r="I13" s="32">
        <f t="shared" si="2"/>
        <v>91</v>
      </c>
      <c r="J13" s="32">
        <f t="shared" si="3"/>
        <v>127</v>
      </c>
      <c r="K13" s="32">
        <f t="shared" si="4"/>
        <v>37</v>
      </c>
      <c r="L13" s="30">
        <v>39000000</v>
      </c>
      <c r="M13" s="29" t="s">
        <v>90</v>
      </c>
      <c r="O13" s="29" t="s">
        <v>91</v>
      </c>
      <c r="P13" s="61">
        <f>D55</f>
        <v>2.4248191853825655E-2</v>
      </c>
      <c r="Q13" s="61">
        <f>J55</f>
        <v>2.3310279211036705E-2</v>
      </c>
      <c r="R13" s="61">
        <f>Q55</f>
        <v>3.0769230769230769E-3</v>
      </c>
      <c r="S13" s="61">
        <f>Y55</f>
        <v>-1.8678938819707634E-2</v>
      </c>
      <c r="U13" s="125" t="s">
        <v>92</v>
      </c>
      <c r="V13" s="124" t="s">
        <v>93</v>
      </c>
    </row>
    <row r="14" spans="1:22" s="29" customFormat="1" x14ac:dyDescent="0.2">
      <c r="B14" s="29">
        <v>2010</v>
      </c>
      <c r="C14" s="29">
        <v>2</v>
      </c>
      <c r="D14" s="30">
        <v>235000000</v>
      </c>
      <c r="F14" s="31">
        <v>40305</v>
      </c>
      <c r="G14" s="29">
        <f t="shared" si="0"/>
        <v>2010</v>
      </c>
      <c r="H14" s="29">
        <f t="shared" si="1"/>
        <v>2</v>
      </c>
      <c r="I14" s="32">
        <f t="shared" si="2"/>
        <v>91</v>
      </c>
      <c r="J14" s="32">
        <f t="shared" si="3"/>
        <v>127</v>
      </c>
      <c r="K14" s="32">
        <f t="shared" si="4"/>
        <v>37</v>
      </c>
      <c r="L14" s="30">
        <v>25000000</v>
      </c>
      <c r="M14" s="29" t="s">
        <v>94</v>
      </c>
      <c r="O14" s="29" t="s">
        <v>95</v>
      </c>
      <c r="P14" s="61">
        <f>D71</f>
        <v>0</v>
      </c>
      <c r="Q14" s="61">
        <f>J71</f>
        <v>2.3310279211036705E-2</v>
      </c>
      <c r="R14" s="61">
        <f>Q71</f>
        <v>0</v>
      </c>
      <c r="S14" s="61">
        <f>Y71</f>
        <v>2.490525175961018E-2</v>
      </c>
      <c r="U14" s="125" t="s">
        <v>96</v>
      </c>
      <c r="V14" s="124" t="s">
        <v>97</v>
      </c>
    </row>
    <row r="15" spans="1:22" s="29" customFormat="1" x14ac:dyDescent="0.2">
      <c r="B15" s="29">
        <v>2010</v>
      </c>
      <c r="C15" s="29">
        <v>3</v>
      </c>
      <c r="D15" s="30">
        <v>236000000</v>
      </c>
      <c r="F15" s="31">
        <v>40325</v>
      </c>
      <c r="G15" s="29">
        <f t="shared" si="0"/>
        <v>2010</v>
      </c>
      <c r="H15" s="29">
        <f t="shared" si="1"/>
        <v>2</v>
      </c>
      <c r="I15" s="32">
        <f t="shared" si="2"/>
        <v>91</v>
      </c>
      <c r="J15" s="32">
        <f t="shared" si="3"/>
        <v>147</v>
      </c>
      <c r="K15" s="32">
        <f t="shared" si="4"/>
        <v>57</v>
      </c>
      <c r="L15" s="30">
        <v>6000000</v>
      </c>
      <c r="M15" s="29" t="s">
        <v>98</v>
      </c>
      <c r="U15" s="125" t="s">
        <v>99</v>
      </c>
      <c r="V15" s="124" t="s">
        <v>100</v>
      </c>
    </row>
    <row r="16" spans="1:22" s="29" customFormat="1" x14ac:dyDescent="0.2">
      <c r="B16" s="29">
        <v>2010</v>
      </c>
      <c r="C16" s="29">
        <v>4</v>
      </c>
      <c r="D16" s="30">
        <v>271000000</v>
      </c>
      <c r="F16" s="31">
        <v>40484</v>
      </c>
      <c r="G16" s="29">
        <f t="shared" si="0"/>
        <v>2010</v>
      </c>
      <c r="H16" s="29">
        <f t="shared" si="1"/>
        <v>4</v>
      </c>
      <c r="I16" s="32">
        <f t="shared" si="2"/>
        <v>92</v>
      </c>
      <c r="J16" s="32">
        <f t="shared" si="3"/>
        <v>306</v>
      </c>
      <c r="K16" s="32">
        <f t="shared" si="4"/>
        <v>33</v>
      </c>
      <c r="L16" s="30">
        <v>6000000</v>
      </c>
      <c r="M16" s="29" t="s">
        <v>101</v>
      </c>
      <c r="U16" s="125" t="s">
        <v>102</v>
      </c>
      <c r="V16" s="124" t="s">
        <v>103</v>
      </c>
    </row>
    <row r="17" spans="1:30" s="29" customFormat="1" x14ac:dyDescent="0.2">
      <c r="B17" s="29">
        <v>2011</v>
      </c>
      <c r="C17" s="29">
        <v>1</v>
      </c>
      <c r="D17" s="30">
        <v>275000000</v>
      </c>
      <c r="F17" s="31">
        <v>40508</v>
      </c>
      <c r="G17" s="29">
        <f t="shared" si="0"/>
        <v>2010</v>
      </c>
      <c r="H17" s="29">
        <f t="shared" si="1"/>
        <v>4</v>
      </c>
      <c r="I17" s="32">
        <f t="shared" si="2"/>
        <v>92</v>
      </c>
      <c r="J17" s="32">
        <f t="shared" si="3"/>
        <v>330</v>
      </c>
      <c r="K17" s="32">
        <f t="shared" si="4"/>
        <v>57</v>
      </c>
      <c r="L17" s="30">
        <v>35000000</v>
      </c>
      <c r="M17" s="29" t="s">
        <v>104</v>
      </c>
      <c r="U17" s="125" t="s">
        <v>105</v>
      </c>
      <c r="V17" s="124" t="s">
        <v>106</v>
      </c>
    </row>
    <row r="18" spans="1:30" s="29" customFormat="1" x14ac:dyDescent="0.2">
      <c r="A18" s="36"/>
      <c r="B18" s="29">
        <v>2011</v>
      </c>
      <c r="C18" s="29">
        <v>2</v>
      </c>
      <c r="D18" s="30">
        <v>266000000</v>
      </c>
      <c r="F18" s="31">
        <v>40690</v>
      </c>
      <c r="G18" s="29">
        <f t="shared" si="0"/>
        <v>2011</v>
      </c>
      <c r="H18" s="29">
        <f t="shared" si="1"/>
        <v>2</v>
      </c>
      <c r="I18" s="32">
        <f t="shared" si="2"/>
        <v>91</v>
      </c>
      <c r="J18" s="32">
        <f t="shared" si="3"/>
        <v>147</v>
      </c>
      <c r="K18" s="32">
        <f t="shared" si="4"/>
        <v>57</v>
      </c>
      <c r="L18" s="30">
        <v>7000000</v>
      </c>
      <c r="M18" s="29" t="s">
        <v>107</v>
      </c>
      <c r="U18" s="126"/>
      <c r="V18" s="124"/>
    </row>
    <row r="19" spans="1:30" s="29" customFormat="1" x14ac:dyDescent="0.2">
      <c r="A19" s="36"/>
      <c r="B19" s="29">
        <v>2011</v>
      </c>
      <c r="C19" s="29">
        <v>3</v>
      </c>
      <c r="D19" s="30">
        <v>293000000</v>
      </c>
      <c r="F19" s="31">
        <v>40808</v>
      </c>
      <c r="G19" s="29">
        <f t="shared" si="0"/>
        <v>2011</v>
      </c>
      <c r="H19" s="29">
        <f t="shared" si="1"/>
        <v>3</v>
      </c>
      <c r="I19" s="32">
        <f t="shared" si="2"/>
        <v>92</v>
      </c>
      <c r="J19" s="32">
        <f t="shared" si="3"/>
        <v>265</v>
      </c>
      <c r="K19" s="32">
        <f t="shared" si="4"/>
        <v>84</v>
      </c>
      <c r="L19" s="30">
        <v>25000000</v>
      </c>
      <c r="M19" s="29" t="s">
        <v>108</v>
      </c>
      <c r="U19" s="123"/>
      <c r="V19" s="124"/>
    </row>
    <row r="20" spans="1:30" s="29" customFormat="1" ht="12.75" customHeight="1" x14ac:dyDescent="0.2">
      <c r="A20" s="36"/>
      <c r="B20" s="16">
        <v>2011</v>
      </c>
      <c r="C20" s="16">
        <v>4</v>
      </c>
      <c r="D20" s="18">
        <v>290000000</v>
      </c>
      <c r="F20" s="31">
        <v>40855</v>
      </c>
      <c r="G20" s="29">
        <f t="shared" si="0"/>
        <v>2011</v>
      </c>
      <c r="H20" s="29">
        <f t="shared" si="1"/>
        <v>4</v>
      </c>
      <c r="I20" s="32">
        <f t="shared" si="2"/>
        <v>92</v>
      </c>
      <c r="J20" s="32">
        <f t="shared" si="3"/>
        <v>312</v>
      </c>
      <c r="K20" s="32">
        <f t="shared" si="4"/>
        <v>39</v>
      </c>
      <c r="L20" s="30">
        <v>7000000</v>
      </c>
      <c r="M20" s="29" t="s">
        <v>109</v>
      </c>
      <c r="U20" s="182" t="s">
        <v>110</v>
      </c>
      <c r="V20" s="183"/>
    </row>
    <row r="21" spans="1:30" s="29" customFormat="1" x14ac:dyDescent="0.2">
      <c r="B21" s="16">
        <v>2012</v>
      </c>
      <c r="C21" s="16">
        <v>1</v>
      </c>
      <c r="D21" s="18">
        <v>295000000</v>
      </c>
      <c r="F21" s="15">
        <v>40939</v>
      </c>
      <c r="G21" s="16">
        <f t="shared" si="0"/>
        <v>2012</v>
      </c>
      <c r="H21" s="16">
        <f t="shared" si="1"/>
        <v>1</v>
      </c>
      <c r="I21" s="17">
        <f t="shared" si="2"/>
        <v>91</v>
      </c>
      <c r="J21" s="17">
        <f t="shared" si="3"/>
        <v>31</v>
      </c>
      <c r="K21" s="17">
        <f t="shared" si="4"/>
        <v>31</v>
      </c>
      <c r="L21" s="18">
        <v>2000000</v>
      </c>
      <c r="M21" s="16" t="s">
        <v>111</v>
      </c>
      <c r="U21" s="182"/>
      <c r="V21" s="183"/>
    </row>
    <row r="22" spans="1:30" s="29" customFormat="1" x14ac:dyDescent="0.2">
      <c r="A22" s="36"/>
      <c r="B22" s="16">
        <v>2012</v>
      </c>
      <c r="C22" s="16">
        <v>2</v>
      </c>
      <c r="D22" s="18">
        <v>325000000</v>
      </c>
      <c r="F22" s="15">
        <v>41057</v>
      </c>
      <c r="G22" s="16">
        <f t="shared" si="0"/>
        <v>2012</v>
      </c>
      <c r="H22" s="16">
        <f t="shared" si="1"/>
        <v>2</v>
      </c>
      <c r="I22" s="17">
        <f t="shared" si="2"/>
        <v>91</v>
      </c>
      <c r="J22" s="17">
        <f t="shared" si="3"/>
        <v>149</v>
      </c>
      <c r="K22" s="17">
        <f t="shared" si="4"/>
        <v>58</v>
      </c>
      <c r="L22" s="18">
        <v>7000000</v>
      </c>
      <c r="M22" s="16" t="s">
        <v>112</v>
      </c>
      <c r="U22" s="184"/>
      <c r="V22" s="185"/>
    </row>
    <row r="23" spans="1:30" s="29" customFormat="1" x14ac:dyDescent="0.2">
      <c r="A23" s="36"/>
      <c r="B23" s="16">
        <v>2012</v>
      </c>
      <c r="C23" s="16">
        <v>3</v>
      </c>
      <c r="D23" s="18">
        <v>326000000</v>
      </c>
      <c r="F23" s="15">
        <v>41059</v>
      </c>
      <c r="G23" s="16">
        <f t="shared" si="0"/>
        <v>2012</v>
      </c>
      <c r="H23" s="16">
        <f t="shared" si="1"/>
        <v>2</v>
      </c>
      <c r="I23" s="17">
        <f t="shared" si="2"/>
        <v>91</v>
      </c>
      <c r="J23" s="17">
        <f t="shared" si="3"/>
        <v>151</v>
      </c>
      <c r="K23" s="17">
        <f t="shared" si="4"/>
        <v>60</v>
      </c>
      <c r="L23" s="18">
        <v>23000000</v>
      </c>
      <c r="M23" s="16" t="s">
        <v>113</v>
      </c>
    </row>
    <row r="24" spans="1:30" s="29" customFormat="1" x14ac:dyDescent="0.2">
      <c r="A24" s="36"/>
      <c r="B24" s="16">
        <v>2012</v>
      </c>
      <c r="C24" s="16">
        <v>4</v>
      </c>
      <c r="D24" s="18">
        <v>320000000</v>
      </c>
      <c r="F24" s="15">
        <v>41219</v>
      </c>
      <c r="G24" s="16">
        <f t="shared" si="0"/>
        <v>2012</v>
      </c>
      <c r="H24" s="16">
        <f t="shared" si="1"/>
        <v>4</v>
      </c>
      <c r="I24" s="17">
        <f t="shared" si="2"/>
        <v>92</v>
      </c>
      <c r="J24" s="17">
        <f t="shared" si="3"/>
        <v>311</v>
      </c>
      <c r="K24" s="17">
        <f t="shared" si="4"/>
        <v>37</v>
      </c>
      <c r="L24" s="18">
        <v>8000000</v>
      </c>
      <c r="M24" s="16" t="s">
        <v>114</v>
      </c>
    </row>
    <row r="25" spans="1:30" x14ac:dyDescent="0.2">
      <c r="B25" s="10"/>
    </row>
    <row r="26" spans="1:30" x14ac:dyDescent="0.2">
      <c r="B26" s="10"/>
    </row>
    <row r="27" spans="1:30" x14ac:dyDescent="0.2">
      <c r="B27" s="10"/>
    </row>
    <row r="28" spans="1:30" x14ac:dyDescent="0.2">
      <c r="B28" s="21" t="s">
        <v>115</v>
      </c>
      <c r="C28" s="22" t="s">
        <v>209</v>
      </c>
      <c r="D28" s="20"/>
      <c r="E28" s="20"/>
      <c r="F28" s="20"/>
      <c r="G28" s="12"/>
      <c r="H28" s="22" t="s">
        <v>210</v>
      </c>
      <c r="I28" s="12"/>
      <c r="J28" s="20"/>
      <c r="K28" s="20"/>
      <c r="L28" s="20"/>
      <c r="M28" s="12"/>
      <c r="N28" s="12"/>
      <c r="O28" s="22" t="s">
        <v>211</v>
      </c>
      <c r="P28" s="12"/>
      <c r="Q28" s="20"/>
      <c r="R28" s="20"/>
      <c r="S28" s="20"/>
      <c r="T28" s="12"/>
      <c r="U28" s="12"/>
      <c r="V28" s="12"/>
      <c r="W28" s="22" t="s">
        <v>212</v>
      </c>
      <c r="X28" s="12"/>
      <c r="Y28" s="20"/>
      <c r="Z28" s="20"/>
      <c r="AA28" s="20"/>
      <c r="AB28" s="12"/>
      <c r="AC28" s="12"/>
      <c r="AD28" s="12"/>
    </row>
    <row r="29" spans="1:30" x14ac:dyDescent="0.2">
      <c r="B29" s="19"/>
      <c r="C29" s="20"/>
      <c r="D29" s="20"/>
      <c r="E29" s="20"/>
      <c r="F29" s="20"/>
      <c r="G29" s="12"/>
      <c r="H29" s="19"/>
      <c r="I29" s="20"/>
      <c r="J29" s="20"/>
      <c r="K29" s="20"/>
      <c r="L29" s="20"/>
      <c r="M29" s="12"/>
      <c r="N29" s="12"/>
      <c r="O29" s="19"/>
      <c r="P29" s="20"/>
      <c r="Q29" s="20"/>
      <c r="R29" s="20"/>
      <c r="S29" s="20"/>
      <c r="T29" s="12"/>
      <c r="U29" s="12"/>
      <c r="V29" s="12"/>
      <c r="W29" s="19"/>
      <c r="X29" s="20"/>
      <c r="Y29" s="20"/>
      <c r="Z29" s="20"/>
      <c r="AA29" s="20"/>
      <c r="AB29" s="12"/>
      <c r="AC29" s="12"/>
      <c r="AD29" s="12"/>
    </row>
    <row r="30" spans="1:30" x14ac:dyDescent="0.2">
      <c r="B30" s="19" t="s">
        <v>169</v>
      </c>
      <c r="C30" s="20" t="s">
        <v>117</v>
      </c>
      <c r="D30" s="33" t="s">
        <v>118</v>
      </c>
      <c r="E30" s="33"/>
      <c r="F30" s="33"/>
      <c r="G30" s="12"/>
      <c r="H30" s="19" t="s">
        <v>170</v>
      </c>
      <c r="I30" s="20" t="s">
        <v>117</v>
      </c>
      <c r="J30" s="33" t="s">
        <v>118</v>
      </c>
      <c r="K30" s="33"/>
      <c r="L30" s="33"/>
      <c r="M30" s="12"/>
      <c r="N30" s="12"/>
      <c r="O30" s="19" t="s">
        <v>171</v>
      </c>
      <c r="P30" s="20" t="s">
        <v>117</v>
      </c>
      <c r="Q30" s="33" t="s">
        <v>118</v>
      </c>
      <c r="R30" s="33"/>
      <c r="S30" s="33"/>
      <c r="T30" s="12"/>
      <c r="U30" s="12"/>
      <c r="V30" s="12"/>
      <c r="W30" s="19" t="s">
        <v>172</v>
      </c>
      <c r="X30" s="20" t="s">
        <v>117</v>
      </c>
      <c r="Y30" s="33" t="s">
        <v>118</v>
      </c>
      <c r="Z30" s="33"/>
      <c r="AA30" s="33"/>
      <c r="AB30" s="12"/>
      <c r="AC30" s="12"/>
      <c r="AD30" s="12"/>
    </row>
    <row r="31" spans="1:30" x14ac:dyDescent="0.2">
      <c r="B31" s="19"/>
      <c r="C31" s="20"/>
      <c r="D31" s="12"/>
      <c r="E31" s="12" t="s">
        <v>119</v>
      </c>
      <c r="F31" s="12"/>
      <c r="G31" s="12"/>
      <c r="H31" s="19"/>
      <c r="I31" s="20"/>
      <c r="J31" s="12"/>
      <c r="K31" s="12" t="s">
        <v>119</v>
      </c>
      <c r="L31" s="12"/>
      <c r="M31" s="12"/>
      <c r="N31" s="12"/>
      <c r="O31" s="19"/>
      <c r="P31" s="20"/>
      <c r="Q31" s="12"/>
      <c r="R31" s="12" t="s">
        <v>119</v>
      </c>
      <c r="S31" s="12"/>
      <c r="T31" s="12"/>
      <c r="U31" s="12"/>
      <c r="V31" s="12"/>
      <c r="W31" s="19"/>
      <c r="X31" s="20"/>
      <c r="Y31" s="12"/>
      <c r="Z31" s="12" t="s">
        <v>119</v>
      </c>
      <c r="AA31" s="12"/>
      <c r="AB31" s="12"/>
      <c r="AC31" s="12"/>
      <c r="AD31" s="12"/>
    </row>
    <row r="32" spans="1:30" x14ac:dyDescent="0.2">
      <c r="B32" s="19"/>
      <c r="C32" s="20"/>
      <c r="D32" s="12"/>
      <c r="E32" s="12"/>
      <c r="F32" s="12"/>
      <c r="G32" s="12"/>
      <c r="H32" s="19"/>
      <c r="I32" s="20"/>
      <c r="J32" s="12"/>
      <c r="K32" s="12"/>
      <c r="L32" s="12"/>
      <c r="M32" s="12"/>
      <c r="N32" s="12"/>
      <c r="O32" s="19"/>
      <c r="P32" s="20"/>
      <c r="Q32" s="12"/>
      <c r="R32" s="12"/>
      <c r="S32" s="12"/>
      <c r="T32" s="12"/>
      <c r="U32" s="12"/>
      <c r="V32" s="12"/>
      <c r="W32" s="19"/>
      <c r="X32" s="20"/>
      <c r="Y32" s="12"/>
      <c r="Z32" s="12"/>
      <c r="AA32" s="12"/>
      <c r="AB32" s="12"/>
      <c r="AC32" s="12"/>
      <c r="AD32" s="12"/>
    </row>
    <row r="33" spans="2:30" x14ac:dyDescent="0.2">
      <c r="B33" s="19"/>
      <c r="C33" s="20" t="s">
        <v>117</v>
      </c>
      <c r="D33" s="104" t="str">
        <f>_xlfn.CONCAT(TEXT($D$21,"0,0"), " - ",TEXT($D$20,"0,0")," + ",TEXT($L$21,"0,0"))</f>
        <v>295000000,0 - 290000000,0 + 2000000,0</v>
      </c>
      <c r="E33" s="102"/>
      <c r="F33" s="104"/>
      <c r="G33" s="102"/>
      <c r="H33" s="99"/>
      <c r="I33" s="99" t="s">
        <v>117</v>
      </c>
      <c r="J33" s="104" t="str">
        <f>_xlfn.CONCAT(TEXT($D$22,"0,0"), " - ",TEXT($D$21,"0,0"), " - ",TEXT($L$23,"0,0")," + ",TEXT($L$22,"0,0"))</f>
        <v>325000000,0 - 295000000,0 - 23000000,0 + 7000000,0</v>
      </c>
      <c r="K33" s="102"/>
      <c r="L33" s="104"/>
      <c r="M33" s="102"/>
      <c r="N33" s="102"/>
      <c r="O33" s="99"/>
      <c r="P33" s="99" t="s">
        <v>117</v>
      </c>
      <c r="Q33" s="104" t="str">
        <f>_xlfn.CONCAT(TEXT($D$23,"0,0"), " - ",TEXT($D$22,"0,0"))</f>
        <v>326000000,0 - 325000000,0</v>
      </c>
      <c r="R33" s="102"/>
      <c r="S33" s="104"/>
      <c r="T33" s="102"/>
      <c r="U33" s="102"/>
      <c r="V33" s="102"/>
      <c r="W33" s="99"/>
      <c r="X33" s="99" t="s">
        <v>117</v>
      </c>
      <c r="Y33" s="104" t="str">
        <f>_xlfn.CONCAT(TEXT($D$24,"0,0"), " - ",TEXT($D$23,"0,0"), " + ",TEXT($L$24,"0,0"))</f>
        <v>320000000,0 - 326000000,0 + 8000000,0</v>
      </c>
      <c r="Z33" s="102"/>
      <c r="AA33" s="104"/>
      <c r="AB33" s="102"/>
      <c r="AC33" s="102"/>
      <c r="AD33" s="102"/>
    </row>
    <row r="34" spans="2:30" x14ac:dyDescent="0.2">
      <c r="B34" s="19"/>
      <c r="C34" s="20"/>
      <c r="D34" s="99" t="str">
        <f>_xlfn.CONCAT(TEXT($D$20,"0,0"), " - (",TEXT($L$21,"0,0"), " * ","(",TEXT($I$21,"0,0")," - ",TEXT($K$21,"0,0"),") / ",TEXT($I$21,"0,0"),")")</f>
        <v>290000000,0 - (2000000,0 * (91,0 - 31,0) / 91,0)</v>
      </c>
      <c r="E34" s="99"/>
      <c r="F34" s="99"/>
      <c r="G34" s="102"/>
      <c r="H34" s="99"/>
      <c r="I34" s="99"/>
      <c r="J34" s="99" t="str">
        <f>_xlfn.CONCAT(TEXT($D$21,"0,0"), " + (",TEXT($L$23,"0,0"), " * ","(",TEXT($I$23,"0,0")," - ",TEXT($K$23,"0,0"),") / ",TEXT($I$23,"0,0"),")"," - (",TEXT($L$22,"0,0"), " * ","(",TEXT($I$22,"0,0")," - ",TEXT($K$22,"0,0"),") / ",TEXT($I$22,"0,0"),")")</f>
        <v>295000000,0 + (23000000,0 * (91,0 - 60,0) / 91,0) - (7000000,0 * (91,0 - 58,0) / 91,0)</v>
      </c>
      <c r="K34" s="99"/>
      <c r="L34" s="99"/>
      <c r="M34" s="102"/>
      <c r="N34" s="102"/>
      <c r="O34" s="99"/>
      <c r="P34" s="99"/>
      <c r="Q34" s="107" t="str">
        <f>_xlfn.CONCAT(TEXT($D$22,"0,0"))</f>
        <v>325000000,0</v>
      </c>
      <c r="R34" s="99"/>
      <c r="S34" s="99"/>
      <c r="T34" s="102"/>
      <c r="U34" s="102"/>
      <c r="V34" s="102"/>
      <c r="W34" s="99"/>
      <c r="X34" s="99"/>
      <c r="Y34" s="99" t="str">
        <f>_xlfn.CONCAT(TEXT($D$23,"0,0"), " - (",TEXT($L$24,"0,0"), " * ","(",TEXT($I$24,"0,0")," - ",TEXT($K$24,"0,0"),") / ",TEXT($I$24,"0,0"),")")</f>
        <v>326000000,0 - (8000000,0 * (92,0 - 37,0) / 92,0)</v>
      </c>
      <c r="Z34" s="99"/>
      <c r="AA34" s="99"/>
      <c r="AB34" s="102"/>
      <c r="AC34" s="102"/>
      <c r="AD34" s="102"/>
    </row>
    <row r="35" spans="2:30" x14ac:dyDescent="0.2">
      <c r="B35" s="19"/>
      <c r="C35" s="20"/>
      <c r="D35" s="99"/>
      <c r="E35" s="99"/>
      <c r="F35" s="99"/>
      <c r="G35" s="102"/>
      <c r="H35" s="99"/>
      <c r="I35" s="99"/>
      <c r="J35" s="99"/>
      <c r="K35" s="99"/>
      <c r="L35" s="99"/>
      <c r="M35" s="102"/>
      <c r="N35" s="102"/>
      <c r="O35" s="99"/>
      <c r="P35" s="99"/>
      <c r="Q35" s="99"/>
      <c r="R35" s="99"/>
      <c r="S35" s="99"/>
      <c r="T35" s="102"/>
      <c r="U35" s="102"/>
      <c r="V35" s="102"/>
      <c r="W35" s="99"/>
      <c r="X35" s="99"/>
      <c r="Y35" s="99"/>
      <c r="Z35" s="99"/>
      <c r="AA35" s="99"/>
      <c r="AB35" s="102"/>
      <c r="AC35" s="102"/>
      <c r="AD35" s="102"/>
    </row>
    <row r="36" spans="2:30" x14ac:dyDescent="0.2">
      <c r="B36" s="19"/>
      <c r="C36" s="20" t="s">
        <v>117</v>
      </c>
      <c r="D36" s="104">
        <f>$D$21 - $D$20 + $L$21</f>
        <v>7000000</v>
      </c>
      <c r="E36" s="99"/>
      <c r="F36" s="99"/>
      <c r="G36" s="102"/>
      <c r="H36" s="99"/>
      <c r="I36" s="99" t="s">
        <v>117</v>
      </c>
      <c r="J36" s="104">
        <f>$D$22 - $D$21 - $L$23 + $L$22</f>
        <v>14000000</v>
      </c>
      <c r="K36" s="99"/>
      <c r="L36" s="99"/>
      <c r="M36" s="102"/>
      <c r="N36" s="102"/>
      <c r="O36" s="99"/>
      <c r="P36" s="99" t="s">
        <v>117</v>
      </c>
      <c r="Q36" s="104">
        <f>$D$23 - $D$22</f>
        <v>1000000</v>
      </c>
      <c r="R36" s="99"/>
      <c r="S36" s="99"/>
      <c r="T36" s="102"/>
      <c r="U36" s="102"/>
      <c r="V36" s="102"/>
      <c r="W36" s="99"/>
      <c r="X36" s="99" t="s">
        <v>117</v>
      </c>
      <c r="Y36" s="104">
        <f>$D$24 - $D$23 + $L$24</f>
        <v>2000000</v>
      </c>
      <c r="Z36" s="99"/>
      <c r="AA36" s="99"/>
      <c r="AB36" s="102"/>
      <c r="AC36" s="102"/>
      <c r="AD36" s="102"/>
    </row>
    <row r="37" spans="2:30" x14ac:dyDescent="0.2">
      <c r="B37" s="19"/>
      <c r="C37" s="20"/>
      <c r="D37" s="99">
        <f>$D$20 - ($L$21 * ($I$21 - $K$21) / $I$21)</f>
        <v>288681318.6813187</v>
      </c>
      <c r="E37" s="99"/>
      <c r="F37" s="99"/>
      <c r="G37" s="102"/>
      <c r="H37" s="99"/>
      <c r="I37" s="99"/>
      <c r="J37" s="99">
        <f>$D$21 + ($L$23 * ($I$23 - $K$23) / $I$23) - ($L$22 * ($I$22 - $K$22) / $I$22)</f>
        <v>300296703.29670328</v>
      </c>
      <c r="K37" s="99"/>
      <c r="L37" s="99"/>
      <c r="M37" s="102"/>
      <c r="N37" s="102"/>
      <c r="O37" s="99"/>
      <c r="P37" s="99"/>
      <c r="Q37" s="107">
        <f>$D$22</f>
        <v>325000000</v>
      </c>
      <c r="R37" s="99"/>
      <c r="S37" s="99"/>
      <c r="T37" s="102"/>
      <c r="U37" s="102"/>
      <c r="V37" s="102"/>
      <c r="W37" s="99"/>
      <c r="X37" s="99"/>
      <c r="Y37" s="99">
        <f>$D$23 - ($L$24 * ($I$24 - $K$24) / $I$24)</f>
        <v>321217391.30434781</v>
      </c>
      <c r="Z37" s="99"/>
      <c r="AA37" s="99"/>
      <c r="AB37" s="102"/>
      <c r="AC37" s="102"/>
      <c r="AD37" s="102"/>
    </row>
    <row r="38" spans="2:30" x14ac:dyDescent="0.2">
      <c r="B38" s="19"/>
      <c r="C38" s="20"/>
      <c r="D38" s="20"/>
      <c r="E38" s="20"/>
      <c r="F38" s="20"/>
      <c r="G38" s="12"/>
      <c r="H38" s="19"/>
      <c r="I38" s="20"/>
      <c r="J38" s="20"/>
      <c r="K38" s="20"/>
      <c r="L38" s="20"/>
      <c r="M38" s="12"/>
      <c r="N38" s="12"/>
      <c r="O38" s="19"/>
      <c r="P38" s="20"/>
      <c r="Q38" s="20"/>
      <c r="R38" s="20"/>
      <c r="S38" s="20"/>
      <c r="T38" s="12"/>
      <c r="U38" s="12"/>
      <c r="V38" s="12"/>
      <c r="W38" s="19"/>
      <c r="X38" s="20"/>
      <c r="Y38" s="20"/>
      <c r="Z38" s="20"/>
      <c r="AA38" s="20"/>
      <c r="AB38" s="12"/>
      <c r="AC38" s="12"/>
      <c r="AD38" s="12"/>
    </row>
    <row r="39" spans="2:30" x14ac:dyDescent="0.2">
      <c r="B39" s="26"/>
      <c r="C39" s="12" t="s">
        <v>117</v>
      </c>
      <c r="D39" s="25">
        <f>D36/D37</f>
        <v>2.4248191853825655E-2</v>
      </c>
      <c r="E39" s="20"/>
      <c r="F39" s="20"/>
      <c r="G39" s="12"/>
      <c r="H39" s="26"/>
      <c r="I39" s="12" t="s">
        <v>117</v>
      </c>
      <c r="J39" s="25">
        <f>J36/J37</f>
        <v>4.662055842207341E-2</v>
      </c>
      <c r="K39" s="20"/>
      <c r="L39" s="20"/>
      <c r="M39" s="12"/>
      <c r="N39" s="12"/>
      <c r="O39" s="26"/>
      <c r="P39" s="12" t="s">
        <v>117</v>
      </c>
      <c r="Q39" s="25">
        <f>Q36/Q37</f>
        <v>3.0769230769230769E-3</v>
      </c>
      <c r="R39" s="20"/>
      <c r="S39" s="20"/>
      <c r="T39" s="12"/>
      <c r="U39" s="12"/>
      <c r="V39" s="12"/>
      <c r="W39" s="26"/>
      <c r="X39" s="12" t="s">
        <v>117</v>
      </c>
      <c r="Y39" s="25">
        <f>Y36/Y37</f>
        <v>6.226312939902545E-3</v>
      </c>
      <c r="Z39" s="20"/>
      <c r="AA39" s="20"/>
      <c r="AB39" s="12"/>
      <c r="AC39" s="12"/>
      <c r="AD39" s="12"/>
    </row>
    <row r="40" spans="2:30" x14ac:dyDescent="0.2">
      <c r="B40" s="26"/>
      <c r="C40" s="12"/>
      <c r="D40" s="25"/>
      <c r="E40" s="20"/>
      <c r="F40" s="20"/>
      <c r="G40" s="12"/>
      <c r="H40" s="26"/>
      <c r="I40" s="12"/>
      <c r="J40" s="25"/>
      <c r="K40" s="20"/>
      <c r="L40" s="20"/>
      <c r="M40" s="12"/>
      <c r="N40" s="12"/>
      <c r="O40" s="26"/>
      <c r="P40" s="12"/>
      <c r="Q40" s="25"/>
      <c r="R40" s="20"/>
      <c r="S40" s="20"/>
      <c r="T40" s="12"/>
      <c r="U40" s="12"/>
      <c r="V40" s="12"/>
      <c r="W40" s="26"/>
      <c r="X40" s="12"/>
      <c r="Y40" s="25"/>
      <c r="Z40" s="20"/>
      <c r="AA40" s="20"/>
      <c r="AB40" s="12"/>
      <c r="AC40" s="12"/>
      <c r="AD40" s="12"/>
    </row>
    <row r="41" spans="2:30" x14ac:dyDescent="0.2">
      <c r="B41" s="10"/>
    </row>
    <row r="42" spans="2:30" x14ac:dyDescent="0.2">
      <c r="B42" s="10"/>
    </row>
    <row r="43" spans="2:30" x14ac:dyDescent="0.2">
      <c r="B43" s="10"/>
    </row>
    <row r="44" spans="2:30" x14ac:dyDescent="0.2">
      <c r="B44" s="21" t="s">
        <v>115</v>
      </c>
      <c r="C44" s="22" t="s">
        <v>213</v>
      </c>
      <c r="D44" s="20"/>
      <c r="E44" s="20"/>
      <c r="F44" s="20"/>
      <c r="G44" s="12"/>
      <c r="H44" s="22" t="s">
        <v>214</v>
      </c>
      <c r="I44" s="12"/>
      <c r="J44" s="20"/>
      <c r="K44" s="20"/>
      <c r="L44" s="20"/>
      <c r="M44" s="12"/>
      <c r="N44" s="12"/>
      <c r="O44" s="22" t="s">
        <v>215</v>
      </c>
      <c r="P44" s="12"/>
      <c r="Q44" s="20"/>
      <c r="R44" s="20"/>
      <c r="S44" s="20"/>
      <c r="T44" s="12"/>
      <c r="U44" s="12"/>
      <c r="V44" s="12"/>
      <c r="W44" s="22" t="s">
        <v>216</v>
      </c>
      <c r="X44" s="12"/>
      <c r="Y44" s="20"/>
      <c r="Z44" s="20"/>
      <c r="AA44" s="20"/>
      <c r="AB44" s="12"/>
      <c r="AC44" s="12"/>
      <c r="AD44" s="12"/>
    </row>
    <row r="45" spans="2:30" x14ac:dyDescent="0.2">
      <c r="B45" s="19"/>
      <c r="C45" s="20"/>
      <c r="D45" s="20"/>
      <c r="E45" s="20"/>
      <c r="F45" s="20"/>
      <c r="G45" s="12"/>
      <c r="H45" s="19"/>
      <c r="I45" s="20"/>
      <c r="J45" s="20"/>
      <c r="K45" s="20"/>
      <c r="L45" s="20"/>
      <c r="M45" s="12"/>
      <c r="N45" s="12"/>
      <c r="O45" s="19"/>
      <c r="P45" s="20"/>
      <c r="Q45" s="20"/>
      <c r="R45" s="20"/>
      <c r="S45" s="20"/>
      <c r="T45" s="12"/>
      <c r="U45" s="12"/>
      <c r="V45" s="12"/>
      <c r="W45" s="19"/>
      <c r="X45" s="20"/>
      <c r="Y45" s="20"/>
      <c r="Z45" s="20"/>
      <c r="AA45" s="20"/>
      <c r="AB45" s="12"/>
      <c r="AC45" s="12"/>
      <c r="AD45" s="12"/>
    </row>
    <row r="46" spans="2:30" x14ac:dyDescent="0.2">
      <c r="B46" s="19" t="s">
        <v>177</v>
      </c>
      <c r="C46" s="20" t="s">
        <v>117</v>
      </c>
      <c r="D46" s="33" t="s">
        <v>121</v>
      </c>
      <c r="E46" s="33"/>
      <c r="F46" s="33"/>
      <c r="G46" s="12"/>
      <c r="H46" s="19" t="s">
        <v>178</v>
      </c>
      <c r="I46" s="20" t="s">
        <v>117</v>
      </c>
      <c r="J46" s="33" t="s">
        <v>121</v>
      </c>
      <c r="K46" s="33"/>
      <c r="L46" s="33"/>
      <c r="M46" s="12"/>
      <c r="N46" s="12"/>
      <c r="O46" s="19" t="s">
        <v>179</v>
      </c>
      <c r="P46" s="20" t="s">
        <v>117</v>
      </c>
      <c r="Q46" s="33" t="s">
        <v>121</v>
      </c>
      <c r="R46" s="33"/>
      <c r="S46" s="33"/>
      <c r="T46" s="12"/>
      <c r="U46" s="12"/>
      <c r="V46" s="12"/>
      <c r="W46" s="19" t="s">
        <v>180</v>
      </c>
      <c r="X46" s="20" t="s">
        <v>117</v>
      </c>
      <c r="Y46" s="33" t="s">
        <v>121</v>
      </c>
      <c r="Z46" s="33"/>
      <c r="AA46" s="33"/>
      <c r="AB46" s="12"/>
      <c r="AC46" s="12"/>
      <c r="AD46" s="12"/>
    </row>
    <row r="47" spans="2:30" x14ac:dyDescent="0.2">
      <c r="B47" s="19"/>
      <c r="C47" s="20"/>
      <c r="D47" s="12" t="s">
        <v>119</v>
      </c>
      <c r="E47" s="12"/>
      <c r="F47" s="12"/>
      <c r="G47" s="12"/>
      <c r="H47" s="19"/>
      <c r="I47" s="20"/>
      <c r="J47" s="12" t="s">
        <v>119</v>
      </c>
      <c r="K47" s="12"/>
      <c r="L47" s="12"/>
      <c r="M47" s="12"/>
      <c r="N47" s="12"/>
      <c r="O47" s="19"/>
      <c r="P47" s="20"/>
      <c r="Q47" s="12" t="s">
        <v>119</v>
      </c>
      <c r="R47" s="12"/>
      <c r="S47" s="12"/>
      <c r="T47" s="12"/>
      <c r="U47" s="12"/>
      <c r="V47" s="12"/>
      <c r="W47" s="19"/>
      <c r="X47" s="20"/>
      <c r="Y47" s="12" t="s">
        <v>119</v>
      </c>
      <c r="Z47" s="12"/>
      <c r="AA47" s="12"/>
      <c r="AB47" s="12"/>
      <c r="AC47" s="12"/>
      <c r="AD47" s="12"/>
    </row>
    <row r="48" spans="2:30" x14ac:dyDescent="0.2">
      <c r="B48" s="19"/>
      <c r="C48" s="20"/>
      <c r="D48" s="12"/>
      <c r="E48" s="12"/>
      <c r="F48" s="12"/>
      <c r="G48" s="12"/>
      <c r="H48" s="19"/>
      <c r="I48" s="20"/>
      <c r="J48" s="12"/>
      <c r="K48" s="12"/>
      <c r="L48" s="12"/>
      <c r="M48" s="12"/>
      <c r="N48" s="12"/>
      <c r="O48" s="19"/>
      <c r="P48" s="20"/>
      <c r="Q48" s="12"/>
      <c r="R48" s="12"/>
      <c r="S48" s="12"/>
      <c r="T48" s="12"/>
      <c r="U48" s="12"/>
      <c r="V48" s="12"/>
      <c r="W48" s="19"/>
      <c r="X48" s="20"/>
      <c r="Y48" s="12"/>
      <c r="Z48" s="12"/>
      <c r="AA48" s="12"/>
      <c r="AB48" s="12"/>
      <c r="AC48" s="12"/>
      <c r="AD48" s="12"/>
    </row>
    <row r="49" spans="1:30" s="13" customFormat="1" x14ac:dyDescent="0.2">
      <c r="A49" s="110"/>
      <c r="B49" s="99"/>
      <c r="C49" s="99" t="s">
        <v>117</v>
      </c>
      <c r="D49" s="104" t="str">
        <f>_xlfn.CONCAT(TEXT($D$21,"0,0"), " - ",TEXT($D$20,"0,0")," + ",TEXT($L$21,"0,0"))</f>
        <v>295000000,0 - 290000000,0 + 2000000,0</v>
      </c>
      <c r="E49" s="102"/>
      <c r="F49" s="104"/>
      <c r="G49" s="102"/>
      <c r="H49" s="99"/>
      <c r="I49" s="99" t="s">
        <v>117</v>
      </c>
      <c r="J49" s="104" t="str">
        <f>_xlfn.CONCAT(TEXT($D$22,"0,0"), " - ",TEXT($D$21,"0,0"), " - ",TEXT($L$23,"0,0"))</f>
        <v>325000000,0 - 295000000,0 - 23000000,0</v>
      </c>
      <c r="K49" s="102"/>
      <c r="L49" s="104"/>
      <c r="M49" s="102"/>
      <c r="N49" s="102"/>
      <c r="O49" s="99"/>
      <c r="P49" s="99" t="s">
        <v>117</v>
      </c>
      <c r="Q49" s="104" t="str">
        <f>_xlfn.CONCAT(TEXT($D$23,"0,0"), " - ",TEXT($D$22,"0,0"))</f>
        <v>326000000,0 - 325000000,0</v>
      </c>
      <c r="R49" s="102"/>
      <c r="S49" s="104"/>
      <c r="T49" s="102"/>
      <c r="U49" s="102"/>
      <c r="V49" s="102"/>
      <c r="W49" s="99"/>
      <c r="X49" s="99" t="s">
        <v>117</v>
      </c>
      <c r="Y49" s="104" t="str">
        <f>_xlfn.CONCAT(TEXT($D$24,"0,0"), " - ",TEXT($D$23,"0,0"))</f>
        <v>320000000,0 - 326000000,0</v>
      </c>
      <c r="Z49" s="102"/>
      <c r="AA49" s="104"/>
      <c r="AB49" s="102"/>
      <c r="AC49" s="102"/>
      <c r="AD49" s="102"/>
    </row>
    <row r="50" spans="1:30" s="13" customFormat="1" x14ac:dyDescent="0.2">
      <c r="A50" s="110"/>
      <c r="B50" s="99"/>
      <c r="C50" s="99"/>
      <c r="D50" s="99" t="str">
        <f>_xlfn.CONCAT(TEXT($D$20,"0,0"), " - (",TEXT($L$21,"0,0"), " * ","(",TEXT($I$21,"0,0")," - ",TEXT($K$21,"0,0"),") / ",TEXT($I$21,"0,0"),")")</f>
        <v>290000000,0 - (2000000,0 * (91,0 - 31,0) / 91,0)</v>
      </c>
      <c r="E50" s="99"/>
      <c r="F50" s="99"/>
      <c r="G50" s="102"/>
      <c r="H50" s="99"/>
      <c r="I50" s="99"/>
      <c r="J50" s="99" t="str">
        <f>_xlfn.CONCAT(TEXT($D$21,"0,0"), " + (",TEXT($L$23,"0,0"), " * ","(",TEXT($I$23,"0,0")," - ",TEXT($K$23,"0,0"),") / ",TEXT($I$23,"0,0"),")"," - (",TEXT($L$22,"0,0"), " * ","(",TEXT($I$22,"0,0")," - ",TEXT($K$22,"0,0"),") / ",TEXT($I$22,"0,0"),")")</f>
        <v>295000000,0 + (23000000,0 * (91,0 - 60,0) / 91,0) - (7000000,0 * (91,0 - 58,0) / 91,0)</v>
      </c>
      <c r="K50" s="99"/>
      <c r="L50" s="99"/>
      <c r="M50" s="102"/>
      <c r="N50" s="102"/>
      <c r="O50" s="99"/>
      <c r="P50" s="99"/>
      <c r="Q50" s="107" t="str">
        <f>_xlfn.CONCAT(TEXT($D$22,"0,0"))</f>
        <v>325000000,0</v>
      </c>
      <c r="R50" s="99"/>
      <c r="S50" s="99"/>
      <c r="T50" s="102"/>
      <c r="U50" s="102"/>
      <c r="V50" s="102"/>
      <c r="W50" s="99"/>
      <c r="X50" s="99"/>
      <c r="Y50" s="99" t="str">
        <f>_xlfn.CONCAT(TEXT($D$23,"0,0"), " - (",TEXT($L$24,"0,0"), " * ","(",TEXT($I$24,"0,0")," - ",TEXT($K$24,"0,0"),") / ",TEXT($I$24,"0,0"),")")</f>
        <v>326000000,0 - (8000000,0 * (92,0 - 37,0) / 92,0)</v>
      </c>
      <c r="Z50" s="99"/>
      <c r="AA50" s="99"/>
      <c r="AB50" s="102"/>
      <c r="AC50" s="102"/>
      <c r="AD50" s="102"/>
    </row>
    <row r="51" spans="1:30" s="13" customFormat="1" x14ac:dyDescent="0.2">
      <c r="A51" s="110"/>
      <c r="B51" s="99"/>
      <c r="C51" s="99"/>
      <c r="D51" s="99"/>
      <c r="E51" s="99"/>
      <c r="F51" s="99"/>
      <c r="G51" s="102"/>
      <c r="H51" s="99"/>
      <c r="I51" s="99"/>
      <c r="J51" s="99"/>
      <c r="K51" s="99"/>
      <c r="L51" s="99"/>
      <c r="M51" s="102"/>
      <c r="N51" s="102"/>
      <c r="O51" s="99"/>
      <c r="P51" s="99"/>
      <c r="Q51" s="99"/>
      <c r="R51" s="99"/>
      <c r="S51" s="99"/>
      <c r="T51" s="102"/>
      <c r="U51" s="102"/>
      <c r="V51" s="102"/>
      <c r="W51" s="99"/>
      <c r="X51" s="99"/>
      <c r="Y51" s="99"/>
      <c r="Z51" s="99"/>
      <c r="AA51" s="99"/>
      <c r="AB51" s="102"/>
      <c r="AC51" s="102"/>
      <c r="AD51" s="102"/>
    </row>
    <row r="52" spans="1:30" s="13" customFormat="1" x14ac:dyDescent="0.2">
      <c r="A52" s="110"/>
      <c r="B52" s="99"/>
      <c r="C52" s="99" t="s">
        <v>117</v>
      </c>
      <c r="D52" s="104">
        <f>$D$21 - $D$20 + $L$21</f>
        <v>7000000</v>
      </c>
      <c r="E52" s="99"/>
      <c r="F52" s="99"/>
      <c r="G52" s="102"/>
      <c r="H52" s="99"/>
      <c r="I52" s="99" t="s">
        <v>117</v>
      </c>
      <c r="J52" s="104">
        <f>$D$22 - $D$21 - $L$23</f>
        <v>7000000</v>
      </c>
      <c r="K52" s="99"/>
      <c r="L52" s="99"/>
      <c r="M52" s="102"/>
      <c r="N52" s="102"/>
      <c r="O52" s="99"/>
      <c r="P52" s="99" t="s">
        <v>117</v>
      </c>
      <c r="Q52" s="104">
        <f>$D$23 - $D$22</f>
        <v>1000000</v>
      </c>
      <c r="R52" s="99"/>
      <c r="S52" s="99"/>
      <c r="T52" s="102"/>
      <c r="U52" s="102"/>
      <c r="V52" s="102"/>
      <c r="W52" s="99"/>
      <c r="X52" s="99" t="s">
        <v>117</v>
      </c>
      <c r="Y52" s="104">
        <f>$D$24 - $D$23</f>
        <v>-6000000</v>
      </c>
      <c r="Z52" s="99"/>
      <c r="AA52" s="99"/>
      <c r="AB52" s="102"/>
      <c r="AC52" s="102"/>
      <c r="AD52" s="102"/>
    </row>
    <row r="53" spans="1:30" s="13" customFormat="1" x14ac:dyDescent="0.2">
      <c r="A53" s="110"/>
      <c r="B53" s="99"/>
      <c r="C53" s="99"/>
      <c r="D53" s="99">
        <f>$D$20 - ($L$21 * ($I$21 - $K$21) / $I$21)</f>
        <v>288681318.6813187</v>
      </c>
      <c r="E53" s="99"/>
      <c r="F53" s="99"/>
      <c r="G53" s="102"/>
      <c r="H53" s="99"/>
      <c r="I53" s="99"/>
      <c r="J53" s="99">
        <f>$D$21 + ($L$23 * ($I$23 - $K$23) / $I$23) - ($L$22 * ($I$22 - $K$22) / $I$22)</f>
        <v>300296703.29670328</v>
      </c>
      <c r="K53" s="99"/>
      <c r="L53" s="99"/>
      <c r="M53" s="102"/>
      <c r="N53" s="102"/>
      <c r="O53" s="99"/>
      <c r="P53" s="99"/>
      <c r="Q53" s="107">
        <f>$D$22</f>
        <v>325000000</v>
      </c>
      <c r="R53" s="99"/>
      <c r="S53" s="99"/>
      <c r="T53" s="102"/>
      <c r="U53" s="102"/>
      <c r="V53" s="102"/>
      <c r="W53" s="99"/>
      <c r="X53" s="99"/>
      <c r="Y53" s="99">
        <f>$D$23 - ($L$24 * ($I$24 - $K$24) / $I$24)</f>
        <v>321217391.30434781</v>
      </c>
      <c r="Z53" s="99"/>
      <c r="AA53" s="99"/>
      <c r="AB53" s="102"/>
      <c r="AC53" s="102"/>
      <c r="AD53" s="102"/>
    </row>
    <row r="54" spans="1:30" x14ac:dyDescent="0.2">
      <c r="B54" s="19"/>
      <c r="C54" s="20"/>
      <c r="D54" s="20"/>
      <c r="E54" s="20"/>
      <c r="F54" s="20"/>
      <c r="G54" s="12"/>
      <c r="H54" s="19"/>
      <c r="I54" s="20"/>
      <c r="J54" s="20"/>
      <c r="K54" s="20"/>
      <c r="L54" s="20"/>
      <c r="M54" s="12"/>
      <c r="N54" s="12"/>
      <c r="O54" s="19"/>
      <c r="P54" s="20"/>
      <c r="Q54" s="20"/>
      <c r="R54" s="20"/>
      <c r="S54" s="20"/>
      <c r="T54" s="12"/>
      <c r="U54" s="12"/>
      <c r="V54" s="12"/>
      <c r="W54" s="19"/>
      <c r="X54" s="20"/>
      <c r="Y54" s="20"/>
      <c r="Z54" s="20"/>
      <c r="AA54" s="20"/>
      <c r="AB54" s="12"/>
      <c r="AC54" s="12"/>
      <c r="AD54" s="12"/>
    </row>
    <row r="55" spans="1:30" x14ac:dyDescent="0.2">
      <c r="B55" s="26"/>
      <c r="C55" s="12" t="s">
        <v>117</v>
      </c>
      <c r="D55" s="25">
        <f>D52/D53</f>
        <v>2.4248191853825655E-2</v>
      </c>
      <c r="E55" s="20"/>
      <c r="F55" s="20"/>
      <c r="G55" s="12"/>
      <c r="H55" s="26"/>
      <c r="I55" s="12" t="s">
        <v>117</v>
      </c>
      <c r="J55" s="25">
        <f>J52/J53</f>
        <v>2.3310279211036705E-2</v>
      </c>
      <c r="K55" s="20"/>
      <c r="L55" s="20"/>
      <c r="M55" s="12"/>
      <c r="N55" s="12"/>
      <c r="O55" s="26"/>
      <c r="P55" s="12" t="s">
        <v>117</v>
      </c>
      <c r="Q55" s="25">
        <f>Q52/Q53</f>
        <v>3.0769230769230769E-3</v>
      </c>
      <c r="R55" s="20"/>
      <c r="S55" s="20"/>
      <c r="T55" s="12"/>
      <c r="U55" s="12"/>
      <c r="V55" s="12"/>
      <c r="W55" s="26"/>
      <c r="X55" s="12" t="s">
        <v>117</v>
      </c>
      <c r="Y55" s="25">
        <f>Y52/Y53</f>
        <v>-1.8678938819707634E-2</v>
      </c>
      <c r="Z55" s="20"/>
      <c r="AA55" s="20"/>
      <c r="AB55" s="12"/>
      <c r="AC55" s="12"/>
      <c r="AD55" s="12"/>
    </row>
    <row r="56" spans="1:30" x14ac:dyDescent="0.2">
      <c r="B56" s="26"/>
      <c r="C56" s="12"/>
      <c r="D56" s="25"/>
      <c r="E56" s="20"/>
      <c r="F56" s="20"/>
      <c r="G56" s="12"/>
      <c r="H56" s="26"/>
      <c r="I56" s="12"/>
      <c r="J56" s="25"/>
      <c r="K56" s="20"/>
      <c r="L56" s="20"/>
      <c r="M56" s="12"/>
      <c r="N56" s="12"/>
      <c r="O56" s="26"/>
      <c r="P56" s="12"/>
      <c r="Q56" s="25"/>
      <c r="R56" s="20"/>
      <c r="S56" s="20"/>
      <c r="T56" s="12"/>
      <c r="U56" s="12"/>
      <c r="V56" s="12"/>
      <c r="W56" s="26"/>
      <c r="X56" s="12"/>
      <c r="Y56" s="25"/>
      <c r="Z56" s="20"/>
      <c r="AA56" s="20"/>
      <c r="AB56" s="12"/>
      <c r="AC56" s="12"/>
      <c r="AD56" s="12"/>
    </row>
    <row r="57" spans="1:30" x14ac:dyDescent="0.2">
      <c r="B57" s="10"/>
    </row>
    <row r="58" spans="1:30" x14ac:dyDescent="0.2">
      <c r="B58" s="10"/>
    </row>
    <row r="59" spans="1:30" x14ac:dyDescent="0.2">
      <c r="B59" s="10"/>
    </row>
    <row r="60" spans="1:30" x14ac:dyDescent="0.2">
      <c r="B60" s="21" t="s">
        <v>115</v>
      </c>
      <c r="C60" s="22" t="s">
        <v>217</v>
      </c>
      <c r="D60" s="20"/>
      <c r="E60" s="20"/>
      <c r="F60" s="20"/>
      <c r="G60" s="12"/>
      <c r="H60" s="22" t="s">
        <v>218</v>
      </c>
      <c r="I60" s="12"/>
      <c r="J60" s="20"/>
      <c r="K60" s="20"/>
      <c r="L60" s="20"/>
      <c r="M60" s="12"/>
      <c r="N60" s="12"/>
      <c r="O60" s="22" t="s">
        <v>219</v>
      </c>
      <c r="P60" s="12"/>
      <c r="Q60" s="20"/>
      <c r="R60" s="20"/>
      <c r="S60" s="20"/>
      <c r="T60" s="12"/>
      <c r="U60" s="12"/>
      <c r="V60" s="12"/>
      <c r="W60" s="22" t="s">
        <v>220</v>
      </c>
      <c r="X60" s="12"/>
      <c r="Y60" s="20"/>
      <c r="Z60" s="20"/>
      <c r="AA60" s="20"/>
      <c r="AB60" s="12"/>
      <c r="AC60" s="12"/>
      <c r="AD60" s="12"/>
    </row>
    <row r="61" spans="1:30" x14ac:dyDescent="0.2">
      <c r="B61" s="19"/>
      <c r="C61" s="20"/>
      <c r="D61" s="20"/>
      <c r="E61" s="20"/>
      <c r="F61" s="20"/>
      <c r="G61" s="12"/>
      <c r="H61" s="19"/>
      <c r="I61" s="20"/>
      <c r="J61" s="20"/>
      <c r="K61" s="20"/>
      <c r="L61" s="20"/>
      <c r="M61" s="12"/>
      <c r="N61" s="12"/>
      <c r="O61" s="19"/>
      <c r="P61" s="20"/>
      <c r="Q61" s="20"/>
      <c r="R61" s="20"/>
      <c r="S61" s="20"/>
      <c r="T61" s="12"/>
      <c r="U61" s="12"/>
      <c r="V61" s="12"/>
      <c r="W61" s="19"/>
      <c r="X61" s="20"/>
      <c r="Y61" s="20"/>
      <c r="Z61" s="20"/>
      <c r="AA61" s="20"/>
      <c r="AB61" s="12"/>
      <c r="AC61" s="12"/>
      <c r="AD61" s="12"/>
    </row>
    <row r="62" spans="1:30" x14ac:dyDescent="0.2">
      <c r="B62" s="19" t="s">
        <v>185</v>
      </c>
      <c r="C62" s="20" t="s">
        <v>117</v>
      </c>
      <c r="D62" s="63" t="s">
        <v>123</v>
      </c>
      <c r="E62" s="33"/>
      <c r="F62" s="33"/>
      <c r="G62" s="12"/>
      <c r="H62" s="19" t="s">
        <v>186</v>
      </c>
      <c r="I62" s="20" t="s">
        <v>117</v>
      </c>
      <c r="J62" s="63" t="s">
        <v>123</v>
      </c>
      <c r="K62" s="33"/>
      <c r="L62" s="33"/>
      <c r="M62" s="12"/>
      <c r="N62" s="12"/>
      <c r="O62" s="19" t="s">
        <v>187</v>
      </c>
      <c r="P62" s="20" t="s">
        <v>117</v>
      </c>
      <c r="Q62" s="63" t="s">
        <v>123</v>
      </c>
      <c r="R62" s="33"/>
      <c r="S62" s="33"/>
      <c r="T62" s="12"/>
      <c r="U62" s="12"/>
      <c r="V62" s="12"/>
      <c r="W62" s="19" t="s">
        <v>188</v>
      </c>
      <c r="X62" s="20" t="s">
        <v>117</v>
      </c>
      <c r="Y62" s="63" t="s">
        <v>123</v>
      </c>
      <c r="Z62" s="33"/>
      <c r="AA62" s="33"/>
      <c r="AB62" s="12"/>
      <c r="AC62" s="12"/>
      <c r="AD62" s="12"/>
    </row>
    <row r="63" spans="1:30" x14ac:dyDescent="0.2">
      <c r="B63" s="19"/>
      <c r="C63" s="20"/>
      <c r="D63" s="12" t="s">
        <v>119</v>
      </c>
      <c r="E63" s="12"/>
      <c r="F63" s="12"/>
      <c r="G63" s="12"/>
      <c r="H63" s="19"/>
      <c r="I63" s="20"/>
      <c r="J63" s="12" t="s">
        <v>119</v>
      </c>
      <c r="K63" s="12"/>
      <c r="L63" s="12"/>
      <c r="M63" s="12"/>
      <c r="N63" s="12"/>
      <c r="O63" s="19"/>
      <c r="P63" s="20"/>
      <c r="Q63" s="12" t="s">
        <v>119</v>
      </c>
      <c r="R63" s="12"/>
      <c r="S63" s="12"/>
      <c r="T63" s="12"/>
      <c r="U63" s="12"/>
      <c r="V63" s="12"/>
      <c r="W63" s="19"/>
      <c r="X63" s="20"/>
      <c r="Y63" s="12" t="s">
        <v>119</v>
      </c>
      <c r="Z63" s="12"/>
      <c r="AA63" s="12"/>
      <c r="AB63" s="12"/>
      <c r="AC63" s="12"/>
      <c r="AD63" s="12"/>
    </row>
    <row r="64" spans="1:30" x14ac:dyDescent="0.2">
      <c r="B64" s="19"/>
      <c r="C64" s="20"/>
      <c r="D64" s="12"/>
      <c r="E64" s="12"/>
      <c r="F64" s="12"/>
      <c r="G64" s="12"/>
      <c r="H64" s="19"/>
      <c r="I64" s="20"/>
      <c r="J64" s="12"/>
      <c r="K64" s="12"/>
      <c r="L64" s="12"/>
      <c r="M64" s="12"/>
      <c r="N64" s="12"/>
      <c r="O64" s="19"/>
      <c r="P64" s="20"/>
      <c r="Q64" s="12"/>
      <c r="R64" s="12"/>
      <c r="S64" s="12"/>
      <c r="T64" s="12"/>
      <c r="U64" s="12"/>
      <c r="V64" s="12"/>
      <c r="W64" s="19"/>
      <c r="X64" s="20"/>
      <c r="Y64" s="12"/>
      <c r="Z64" s="12"/>
      <c r="AA64" s="12"/>
      <c r="AB64" s="12"/>
      <c r="AC64" s="12"/>
      <c r="AD64" s="12"/>
    </row>
    <row r="65" spans="1:30" s="13" customFormat="1" x14ac:dyDescent="0.2">
      <c r="A65" s="110"/>
      <c r="B65" s="99"/>
      <c r="C65" s="99" t="s">
        <v>117</v>
      </c>
      <c r="D65" s="104">
        <v>0</v>
      </c>
      <c r="E65" s="102"/>
      <c r="F65" s="104"/>
      <c r="G65" s="102"/>
      <c r="H65" s="99"/>
      <c r="I65" s="99" t="s">
        <v>117</v>
      </c>
      <c r="J65" s="104">
        <f>$L$22</f>
        <v>7000000</v>
      </c>
      <c r="K65" s="102"/>
      <c r="L65" s="104"/>
      <c r="M65" s="102"/>
      <c r="N65" s="102"/>
      <c r="O65" s="99"/>
      <c r="P65" s="99" t="s">
        <v>117</v>
      </c>
      <c r="Q65" s="104">
        <v>0</v>
      </c>
      <c r="R65" s="102"/>
      <c r="S65" s="104"/>
      <c r="T65" s="102"/>
      <c r="U65" s="102"/>
      <c r="V65" s="102"/>
      <c r="W65" s="99"/>
      <c r="X65" s="99" t="s">
        <v>117</v>
      </c>
      <c r="Y65" s="104">
        <f>$L$24</f>
        <v>8000000</v>
      </c>
      <c r="Z65" s="102"/>
      <c r="AA65" s="104"/>
      <c r="AB65" s="102"/>
      <c r="AC65" s="102"/>
      <c r="AD65" s="102"/>
    </row>
    <row r="66" spans="1:30" s="13" customFormat="1" x14ac:dyDescent="0.2">
      <c r="A66" s="110"/>
      <c r="B66" s="99"/>
      <c r="C66" s="99"/>
      <c r="D66" s="99" t="str">
        <f>_xlfn.CONCAT(TEXT($D$20,"0,0"), " - (",TEXT($L$21,"0,0"), " * ","(",TEXT($I$21,"0,0")," - ",TEXT($K$21,"0,0"),") / ",TEXT($I$21,"0,0"),")")</f>
        <v>290000000,0 - (2000000,0 * (91,0 - 31,0) / 91,0)</v>
      </c>
      <c r="E66" s="99"/>
      <c r="F66" s="99"/>
      <c r="G66" s="102"/>
      <c r="H66" s="99"/>
      <c r="I66" s="99"/>
      <c r="J66" s="99" t="str">
        <f>_xlfn.CONCAT(TEXT($D$21,"0,0"), " + (",TEXT($L$23,"0,0"), " * ","(",TEXT($I$23,"0,0")," - ",TEXT($K$23,"0,0"),") / ",TEXT($I$23,"0,0"),")"," - (",TEXT($L$22,"0,0"), " * ","(",TEXT($I$22,"0,0")," - ",TEXT($K$22,"0,0"),") / ",TEXT($I$22,"0,0"),")")</f>
        <v>295000000,0 + (23000000,0 * (91,0 - 60,0) / 91,0) - (7000000,0 * (91,0 - 58,0) / 91,0)</v>
      </c>
      <c r="K66" s="99"/>
      <c r="L66" s="99"/>
      <c r="M66" s="102"/>
      <c r="N66" s="102"/>
      <c r="O66" s="99"/>
      <c r="P66" s="99"/>
      <c r="Q66" s="107" t="str">
        <f>_xlfn.CONCAT(TEXT($D$22,"0,0"))</f>
        <v>325000000,0</v>
      </c>
      <c r="R66" s="99"/>
      <c r="S66" s="99"/>
      <c r="T66" s="102"/>
      <c r="U66" s="102"/>
      <c r="V66" s="102"/>
      <c r="W66" s="99"/>
      <c r="X66" s="99"/>
      <c r="Y66" s="99" t="str">
        <f>_xlfn.CONCAT(TEXT($D$23,"0,0"), " - (",TEXT($L$24,"0,0"), " * ","(",TEXT($I$24,"0,0")," - ",TEXT($K$24,"0,0"),") / ",TEXT($I$24,"0,0"),")")</f>
        <v>326000000,0 - (8000000,0 * (92,0 - 37,0) / 92,0)</v>
      </c>
      <c r="Z66" s="99"/>
      <c r="AA66" s="99"/>
      <c r="AB66" s="102"/>
      <c r="AC66" s="102"/>
      <c r="AD66" s="102"/>
    </row>
    <row r="67" spans="1:30" s="13" customFormat="1" x14ac:dyDescent="0.2">
      <c r="A67" s="110"/>
      <c r="B67" s="99"/>
      <c r="C67" s="99"/>
      <c r="D67" s="99"/>
      <c r="E67" s="99"/>
      <c r="F67" s="99"/>
      <c r="G67" s="102"/>
      <c r="H67" s="99"/>
      <c r="I67" s="99"/>
      <c r="J67" s="99"/>
      <c r="K67" s="99"/>
      <c r="L67" s="99"/>
      <c r="M67" s="102"/>
      <c r="N67" s="102"/>
      <c r="O67" s="99"/>
      <c r="P67" s="99"/>
      <c r="Q67" s="99"/>
      <c r="R67" s="99"/>
      <c r="S67" s="99"/>
      <c r="T67" s="102"/>
      <c r="U67" s="102"/>
      <c r="V67" s="102"/>
      <c r="W67" s="99"/>
      <c r="X67" s="99"/>
      <c r="Y67" s="99"/>
      <c r="Z67" s="99"/>
      <c r="AA67" s="99"/>
      <c r="AB67" s="102"/>
      <c r="AC67" s="102"/>
      <c r="AD67" s="102"/>
    </row>
    <row r="68" spans="1:30" s="13" customFormat="1" x14ac:dyDescent="0.2">
      <c r="A68" s="110"/>
      <c r="B68" s="99"/>
      <c r="C68" s="99" t="s">
        <v>117</v>
      </c>
      <c r="D68" s="104">
        <v>0</v>
      </c>
      <c r="E68" s="99"/>
      <c r="F68" s="99"/>
      <c r="G68" s="102"/>
      <c r="H68" s="99"/>
      <c r="I68" s="99" t="s">
        <v>117</v>
      </c>
      <c r="J68" s="104">
        <f>$L$22</f>
        <v>7000000</v>
      </c>
      <c r="K68" s="99"/>
      <c r="L68" s="99"/>
      <c r="M68" s="102"/>
      <c r="N68" s="102"/>
      <c r="O68" s="99"/>
      <c r="P68" s="99" t="s">
        <v>117</v>
      </c>
      <c r="Q68" s="104">
        <v>0</v>
      </c>
      <c r="R68" s="99"/>
      <c r="S68" s="99"/>
      <c r="T68" s="102"/>
      <c r="U68" s="102"/>
      <c r="V68" s="102"/>
      <c r="W68" s="99"/>
      <c r="X68" s="99" t="s">
        <v>117</v>
      </c>
      <c r="Y68" s="104">
        <f>$L$24</f>
        <v>8000000</v>
      </c>
      <c r="Z68" s="99"/>
      <c r="AA68" s="99"/>
      <c r="AB68" s="102"/>
      <c r="AC68" s="102"/>
      <c r="AD68" s="102"/>
    </row>
    <row r="69" spans="1:30" s="13" customFormat="1" x14ac:dyDescent="0.2">
      <c r="A69" s="110"/>
      <c r="B69" s="99"/>
      <c r="C69" s="99"/>
      <c r="D69" s="99">
        <f>$D$20 - ($L$21 * ($I$21 - $K$21) / $I$21)</f>
        <v>288681318.6813187</v>
      </c>
      <c r="E69" s="99"/>
      <c r="F69" s="99"/>
      <c r="G69" s="102"/>
      <c r="H69" s="99"/>
      <c r="I69" s="99"/>
      <c r="J69" s="99">
        <f>$D$21 + ($L$23 * ($I$23 - $K$23) / $I$23) - ($L$22 * ($I$22 - $K$22) / $I$22)</f>
        <v>300296703.29670328</v>
      </c>
      <c r="K69" s="99"/>
      <c r="L69" s="99"/>
      <c r="M69" s="102"/>
      <c r="N69" s="102"/>
      <c r="O69" s="99"/>
      <c r="P69" s="99"/>
      <c r="Q69" s="107">
        <f>$D$22</f>
        <v>325000000</v>
      </c>
      <c r="R69" s="99"/>
      <c r="S69" s="99"/>
      <c r="T69" s="102"/>
      <c r="U69" s="102"/>
      <c r="V69" s="102"/>
      <c r="W69" s="99"/>
      <c r="X69" s="99"/>
      <c r="Y69" s="99">
        <f>$D$23 - ($L$24 * ($I$24 - $K$24) / $I$24)</f>
        <v>321217391.30434781</v>
      </c>
      <c r="Z69" s="99"/>
      <c r="AA69" s="99"/>
      <c r="AB69" s="102"/>
      <c r="AC69" s="102"/>
      <c r="AD69" s="102"/>
    </row>
    <row r="70" spans="1:30" x14ac:dyDescent="0.2">
      <c r="B70" s="19"/>
      <c r="C70" s="20"/>
      <c r="D70" s="20"/>
      <c r="E70" s="20"/>
      <c r="F70" s="20"/>
      <c r="G70" s="12"/>
      <c r="H70" s="19"/>
      <c r="I70" s="20"/>
      <c r="J70" s="20"/>
      <c r="K70" s="20"/>
      <c r="L70" s="20"/>
      <c r="M70" s="12"/>
      <c r="N70" s="12"/>
      <c r="O70" s="19"/>
      <c r="P70" s="20"/>
      <c r="Q70" s="20"/>
      <c r="R70" s="20"/>
      <c r="S70" s="20"/>
      <c r="T70" s="12"/>
      <c r="U70" s="12"/>
      <c r="V70" s="12"/>
      <c r="W70" s="19"/>
      <c r="X70" s="20"/>
      <c r="Y70" s="20"/>
      <c r="Z70" s="20"/>
      <c r="AA70" s="20"/>
      <c r="AB70" s="12"/>
      <c r="AC70" s="12"/>
      <c r="AD70" s="12"/>
    </row>
    <row r="71" spans="1:30" x14ac:dyDescent="0.2">
      <c r="B71" s="26"/>
      <c r="C71" s="12" t="s">
        <v>117</v>
      </c>
      <c r="D71" s="25">
        <f>D68/D69</f>
        <v>0</v>
      </c>
      <c r="E71" s="20"/>
      <c r="F71" s="20"/>
      <c r="G71" s="12"/>
      <c r="H71" s="26"/>
      <c r="I71" s="12" t="s">
        <v>117</v>
      </c>
      <c r="J71" s="25">
        <f>J68/J69</f>
        <v>2.3310279211036705E-2</v>
      </c>
      <c r="K71" s="20"/>
      <c r="L71" s="20"/>
      <c r="M71" s="12"/>
      <c r="N71" s="12"/>
      <c r="O71" s="26"/>
      <c r="P71" s="12" t="s">
        <v>117</v>
      </c>
      <c r="Q71" s="25">
        <f>Q68/Q69</f>
        <v>0</v>
      </c>
      <c r="R71" s="20"/>
      <c r="S71" s="20"/>
      <c r="T71" s="12"/>
      <c r="U71" s="12"/>
      <c r="V71" s="12"/>
      <c r="W71" s="26"/>
      <c r="X71" s="12" t="s">
        <v>117</v>
      </c>
      <c r="Y71" s="25">
        <f>Y68/Y69</f>
        <v>2.490525175961018E-2</v>
      </c>
      <c r="Z71" s="20"/>
      <c r="AA71" s="20"/>
      <c r="AB71" s="12"/>
      <c r="AC71" s="12"/>
      <c r="AD71" s="12"/>
    </row>
    <row r="72" spans="1:30" x14ac:dyDescent="0.2">
      <c r="B72" s="26"/>
      <c r="C72" s="12"/>
      <c r="D72" s="25"/>
      <c r="E72" s="20"/>
      <c r="F72" s="20"/>
      <c r="G72" s="12"/>
      <c r="H72" s="26"/>
      <c r="I72" s="12"/>
      <c r="J72" s="25"/>
      <c r="K72" s="20"/>
      <c r="L72" s="20"/>
      <c r="M72" s="12"/>
      <c r="N72" s="12"/>
      <c r="O72" s="26"/>
      <c r="P72" s="12"/>
      <c r="Q72" s="25"/>
      <c r="R72" s="20"/>
      <c r="S72" s="20"/>
      <c r="T72" s="12"/>
      <c r="U72" s="12"/>
      <c r="V72" s="12"/>
      <c r="W72" s="26"/>
      <c r="X72" s="12"/>
      <c r="Y72" s="25"/>
      <c r="Z72" s="20"/>
      <c r="AA72" s="20"/>
      <c r="AB72" s="12"/>
      <c r="AC72" s="12"/>
      <c r="AD72" s="12"/>
    </row>
  </sheetData>
  <mergeCells count="3">
    <mergeCell ref="F4:G6"/>
    <mergeCell ref="H1:L1"/>
    <mergeCell ref="U20:V22"/>
  </mergeCells>
  <hyperlinks>
    <hyperlink ref="H1:L1" location="'Table of Contents'!A1" display="Back to Table of Contents" xr:uid="{9C36928D-0F02-4945-B115-4078F84D1E25}"/>
    <hyperlink ref="U20:V22" r:id="rId1" location="inrev-guidelines" display="For more information about Performance Measurement visit the INREV Guidelines on Performance Measurement." xr:uid="{6C1CE4A1-7C99-4117-AC27-B755FBCEA9B9}"/>
  </hyperlinks>
  <pageMargins left="0.7" right="0.7" top="0.75" bottom="0.75" header="0.3" footer="0.3"/>
  <pageSetup paperSize="9" orientation="portrait" verticalDpi="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93B28-8548-4D1C-88B2-5EA9008B9DF4}">
  <sheetPr>
    <tabColor theme="5"/>
  </sheetPr>
  <dimension ref="A1:V84"/>
  <sheetViews>
    <sheetView showGridLines="0" zoomScaleNormal="100" zoomScalePageLayoutView="85" workbookViewId="0">
      <pane ySplit="6" topLeftCell="A7" activePane="bottomLeft" state="frozen"/>
      <selection activeCell="B9" sqref="B9"/>
      <selection pane="bottomLeft"/>
    </sheetView>
  </sheetViews>
  <sheetFormatPr defaultColWidth="8.7109375" defaultRowHeight="12.75" x14ac:dyDescent="0.2"/>
  <cols>
    <col min="1" max="1" width="7.28515625" style="7" customWidth="1"/>
    <col min="2" max="2" width="22.28515625" customWidth="1"/>
    <col min="3" max="3" width="17.7109375" customWidth="1"/>
    <col min="4" max="5" width="18.7109375" customWidth="1"/>
    <col min="6" max="6" width="23.7109375" bestFit="1" customWidth="1"/>
    <col min="7" max="7" width="17.7109375" customWidth="1"/>
    <col min="8" max="8" width="9.85546875" customWidth="1"/>
    <col min="9" max="9" width="21.7109375" bestFit="1" customWidth="1"/>
    <col min="10" max="10" width="8.7109375" customWidth="1"/>
    <col min="11" max="13" width="8.7109375" style="55" customWidth="1"/>
    <col min="14" max="15" width="8.7109375" customWidth="1"/>
  </cols>
  <sheetData>
    <row r="1" spans="1:22" s="1" customFormat="1" ht="34.9" customHeight="1" x14ac:dyDescent="0.2">
      <c r="A1" s="6"/>
      <c r="B1" s="2" t="str">
        <f ca="1">MID(CELL("filename",A1),FIND("]",CELL("filename",A1))+ 1,255)&amp;" - calculation example"</f>
        <v>Quarterly multi year two funds - calculation example</v>
      </c>
      <c r="I1" s="181" t="s">
        <v>68</v>
      </c>
      <c r="J1" s="181"/>
      <c r="K1" s="181"/>
      <c r="L1" s="181"/>
      <c r="M1" s="181"/>
    </row>
    <row r="3" spans="1:22" x14ac:dyDescent="0.2">
      <c r="A3"/>
    </row>
    <row r="4" spans="1:22" x14ac:dyDescent="0.2">
      <c r="A4"/>
      <c r="B4" s="12" t="s">
        <v>69</v>
      </c>
      <c r="C4" s="12" t="s">
        <v>70</v>
      </c>
      <c r="D4" s="12" t="s">
        <v>134</v>
      </c>
    </row>
    <row r="5" spans="1:22" x14ac:dyDescent="0.2">
      <c r="A5"/>
      <c r="B5" s="12" t="s">
        <v>72</v>
      </c>
      <c r="C5" s="12" t="s">
        <v>73</v>
      </c>
      <c r="D5" s="12" t="s">
        <v>73</v>
      </c>
    </row>
    <row r="6" spans="1:22" x14ac:dyDescent="0.2">
      <c r="A6"/>
      <c r="B6" s="12" t="s">
        <v>74</v>
      </c>
      <c r="C6" s="12" t="s">
        <v>75</v>
      </c>
      <c r="D6" s="12" t="s">
        <v>75</v>
      </c>
    </row>
    <row r="7" spans="1:22" x14ac:dyDescent="0.2">
      <c r="A7"/>
    </row>
    <row r="8" spans="1:22" x14ac:dyDescent="0.2">
      <c r="A8"/>
    </row>
    <row r="9" spans="1:22" x14ac:dyDescent="0.2">
      <c r="A9"/>
    </row>
    <row r="10" spans="1:22" x14ac:dyDescent="0.2">
      <c r="A10"/>
      <c r="B10" s="3" t="s">
        <v>135</v>
      </c>
      <c r="I10" s="3" t="s">
        <v>78</v>
      </c>
      <c r="J10" s="3"/>
    </row>
    <row r="11" spans="1:22" ht="25.5" x14ac:dyDescent="0.2">
      <c r="A11"/>
      <c r="B11" s="4" t="s">
        <v>79</v>
      </c>
      <c r="C11" s="4" t="s">
        <v>80</v>
      </c>
      <c r="D11" s="37" t="s">
        <v>136</v>
      </c>
      <c r="E11" s="37" t="s">
        <v>137</v>
      </c>
      <c r="F11" s="37" t="s">
        <v>138</v>
      </c>
      <c r="G11" s="4" t="s">
        <v>139</v>
      </c>
      <c r="H11" s="38"/>
      <c r="I11" s="4"/>
      <c r="J11" s="4"/>
      <c r="K11" s="4" t="s">
        <v>161</v>
      </c>
      <c r="L11" s="4" t="s">
        <v>162</v>
      </c>
      <c r="M11" s="4" t="s">
        <v>163</v>
      </c>
      <c r="N11" s="4" t="s">
        <v>164</v>
      </c>
      <c r="O11" s="4" t="s">
        <v>189</v>
      </c>
      <c r="P11" s="4" t="s">
        <v>190</v>
      </c>
      <c r="Q11" s="4" t="s">
        <v>191</v>
      </c>
      <c r="R11" s="4" t="s">
        <v>192</v>
      </c>
      <c r="S11" s="4" t="s">
        <v>205</v>
      </c>
      <c r="T11" s="4" t="s">
        <v>206</v>
      </c>
      <c r="U11" s="4" t="s">
        <v>207</v>
      </c>
      <c r="V11" s="4" t="s">
        <v>208</v>
      </c>
    </row>
    <row r="12" spans="1:22" s="29" customFormat="1" x14ac:dyDescent="0.2">
      <c r="B12" s="29">
        <v>2010</v>
      </c>
      <c r="C12" s="29">
        <v>1</v>
      </c>
      <c r="D12" s="111">
        <v>-1000000</v>
      </c>
      <c r="E12" s="111">
        <v>-1000000</v>
      </c>
      <c r="F12" s="111">
        <v>0</v>
      </c>
      <c r="G12" s="111">
        <v>163866666.69999999</v>
      </c>
      <c r="I12" s="29" t="s">
        <v>89</v>
      </c>
      <c r="K12" s="78">
        <f t="array" ref="K12:V12">TRANSPOSE(D71:D82)</f>
        <v>-6.9743112862537555E-3</v>
      </c>
      <c r="L12" s="78">
        <v>1.0846326329545427E-2</v>
      </c>
      <c r="M12" s="78">
        <v>-4.8632218844984806E-3</v>
      </c>
      <c r="N12" s="78">
        <v>2.7935045959572753E-2</v>
      </c>
      <c r="O12" s="78">
        <v>1.6868740115972589E-2</v>
      </c>
      <c r="P12" s="78">
        <v>-8.3914955417640855E-3</v>
      </c>
      <c r="Q12" s="78">
        <v>8.5232536596871883E-3</v>
      </c>
      <c r="R12" s="78">
        <v>1.5819876945591439E-2</v>
      </c>
      <c r="S12" s="78">
        <v>2.7712219261778762E-2</v>
      </c>
      <c r="T12" s="78">
        <v>5.3280638198605061E-2</v>
      </c>
      <c r="U12" s="78">
        <v>3.5164835164835165E-3</v>
      </c>
      <c r="V12" s="78">
        <v>7.1157862174442612E-3</v>
      </c>
    </row>
    <row r="13" spans="1:22" s="29" customFormat="1" x14ac:dyDescent="0.2">
      <c r="A13" s="36"/>
      <c r="B13" s="29">
        <v>2010</v>
      </c>
      <c r="C13" s="29">
        <v>2</v>
      </c>
      <c r="D13" s="111">
        <v>2000000</v>
      </c>
      <c r="E13" s="111">
        <v>-4000000</v>
      </c>
      <c r="F13" s="111">
        <v>6000000</v>
      </c>
      <c r="G13" s="111">
        <v>210736263.69999999</v>
      </c>
      <c r="I13" s="29" t="s">
        <v>91</v>
      </c>
      <c r="K13" s="78">
        <f t="array" ref="K13:V13">TRANSPOSE(E71:E82)</f>
        <v>-6.9743112862537555E-3</v>
      </c>
      <c r="L13" s="78">
        <v>-1.762528028551132E-2</v>
      </c>
      <c r="M13" s="78">
        <v>-4.8632218844984806E-3</v>
      </c>
      <c r="N13" s="78">
        <v>3.4918807449465942E-3</v>
      </c>
      <c r="O13" s="78">
        <v>1.6868740115972589E-2</v>
      </c>
      <c r="P13" s="78">
        <v>-3.4090450638416599E-2</v>
      </c>
      <c r="Q13" s="78">
        <v>8.5232536596871883E-3</v>
      </c>
      <c r="R13" s="78">
        <v>-8.4043096273454503E-3</v>
      </c>
      <c r="S13" s="78">
        <v>2.7712219261778762E-2</v>
      </c>
      <c r="T13" s="78">
        <v>2.9970358986715347E-2</v>
      </c>
      <c r="U13" s="78">
        <v>3.5164835164835165E-3</v>
      </c>
      <c r="V13" s="78">
        <v>-1.7789465543610654E-2</v>
      </c>
    </row>
    <row r="14" spans="1:22" s="29" customFormat="1" x14ac:dyDescent="0.2">
      <c r="A14" s="36"/>
      <c r="B14" s="29">
        <v>2010</v>
      </c>
      <c r="C14" s="29">
        <v>3</v>
      </c>
      <c r="D14" s="111">
        <v>-1000000</v>
      </c>
      <c r="E14" s="111">
        <v>-1000000</v>
      </c>
      <c r="F14" s="111">
        <v>0</v>
      </c>
      <c r="G14" s="111">
        <v>235000000</v>
      </c>
      <c r="I14" s="29" t="s">
        <v>95</v>
      </c>
      <c r="K14" s="78">
        <f t="array" ref="K14:V14">TRANSPOSE(F71:F82)</f>
        <v>0</v>
      </c>
      <c r="L14" s="78">
        <v>2.8471606615056749E-2</v>
      </c>
      <c r="M14" s="78">
        <v>0</v>
      </c>
      <c r="N14" s="78">
        <v>2.444316521462616E-2</v>
      </c>
      <c r="O14" s="78">
        <v>0</v>
      </c>
      <c r="P14" s="78">
        <v>2.5698955096652515E-2</v>
      </c>
      <c r="Q14" s="78">
        <v>0</v>
      </c>
      <c r="R14" s="78">
        <v>2.4224186572936887E-2</v>
      </c>
      <c r="S14" s="78">
        <v>0</v>
      </c>
      <c r="T14" s="78">
        <v>2.3310279211889714E-2</v>
      </c>
      <c r="U14" s="78">
        <v>0</v>
      </c>
      <c r="V14" s="78">
        <v>2.4905251761054913E-2</v>
      </c>
    </row>
    <row r="15" spans="1:22" s="29" customFormat="1" x14ac:dyDescent="0.2">
      <c r="A15" s="36"/>
      <c r="B15" s="29">
        <v>2010</v>
      </c>
      <c r="C15" s="29">
        <v>4</v>
      </c>
      <c r="D15" s="111">
        <v>6000000</v>
      </c>
      <c r="E15" s="111">
        <v>0</v>
      </c>
      <c r="F15" s="111">
        <v>6000000</v>
      </c>
      <c r="G15" s="111">
        <v>245467391.30000001</v>
      </c>
      <c r="K15" s="60"/>
      <c r="L15" s="60"/>
      <c r="M15" s="60"/>
    </row>
    <row r="16" spans="1:22" s="29" customFormat="1" x14ac:dyDescent="0.2">
      <c r="A16" s="36"/>
      <c r="B16" s="29">
        <v>2011</v>
      </c>
      <c r="C16" s="29">
        <v>1</v>
      </c>
      <c r="D16" s="111">
        <v>4000000</v>
      </c>
      <c r="E16" s="111">
        <v>4000000</v>
      </c>
      <c r="F16" s="111">
        <v>0</v>
      </c>
      <c r="G16" s="111">
        <v>271000000</v>
      </c>
      <c r="K16" s="60"/>
      <c r="L16" s="60"/>
      <c r="M16" s="60"/>
    </row>
    <row r="17" spans="1:22" s="29" customFormat="1" x14ac:dyDescent="0.2">
      <c r="A17" s="36"/>
      <c r="B17" s="29">
        <v>2011</v>
      </c>
      <c r="C17" s="29">
        <v>2</v>
      </c>
      <c r="D17" s="111">
        <v>-2000000</v>
      </c>
      <c r="E17" s="111">
        <v>-9000000</v>
      </c>
      <c r="F17" s="111">
        <v>7000000</v>
      </c>
      <c r="G17" s="111">
        <v>272384615.39999998</v>
      </c>
      <c r="K17" s="60"/>
      <c r="L17" s="60"/>
      <c r="M17" s="60"/>
    </row>
    <row r="18" spans="1:22" s="29" customFormat="1" x14ac:dyDescent="0.2">
      <c r="A18" s="36"/>
      <c r="B18" s="29">
        <v>2011</v>
      </c>
      <c r="C18" s="29">
        <v>3</v>
      </c>
      <c r="D18" s="111">
        <v>2000000</v>
      </c>
      <c r="E18" s="111">
        <v>2000000</v>
      </c>
      <c r="F18" s="111">
        <v>0</v>
      </c>
      <c r="G18" s="111">
        <v>268173913</v>
      </c>
      <c r="I18" s="3" t="s">
        <v>78</v>
      </c>
      <c r="J18" s="3"/>
      <c r="K18" s="55"/>
      <c r="L18" s="55"/>
      <c r="M18" s="55"/>
      <c r="N18"/>
      <c r="O18"/>
      <c r="P18"/>
      <c r="Q18"/>
      <c r="R18"/>
      <c r="S18"/>
      <c r="T18"/>
      <c r="U18"/>
      <c r="V18"/>
    </row>
    <row r="19" spans="1:22" s="29" customFormat="1" x14ac:dyDescent="0.2">
      <c r="A19" s="36"/>
      <c r="B19" s="29">
        <v>2011</v>
      </c>
      <c r="C19" s="29">
        <v>4</v>
      </c>
      <c r="D19" s="111">
        <v>4000000</v>
      </c>
      <c r="E19" s="111">
        <v>-3000000</v>
      </c>
      <c r="F19" s="111">
        <v>7000000</v>
      </c>
      <c r="G19" s="111">
        <v>288967391.30000001</v>
      </c>
      <c r="I19" s="4"/>
      <c r="J19" s="4" t="s">
        <v>221</v>
      </c>
      <c r="K19" s="4" t="s">
        <v>161</v>
      </c>
      <c r="L19" s="4" t="s">
        <v>162</v>
      </c>
      <c r="M19" s="4" t="s">
        <v>163</v>
      </c>
      <c r="N19" s="4" t="s">
        <v>164</v>
      </c>
      <c r="O19" s="4" t="s">
        <v>189</v>
      </c>
      <c r="P19" s="4" t="s">
        <v>190</v>
      </c>
      <c r="Q19" s="4" t="s">
        <v>191</v>
      </c>
      <c r="R19" s="4" t="s">
        <v>192</v>
      </c>
      <c r="S19" s="4" t="s">
        <v>205</v>
      </c>
      <c r="T19" s="4" t="s">
        <v>206</v>
      </c>
      <c r="U19" s="4" t="s">
        <v>207</v>
      </c>
      <c r="V19" s="4" t="s">
        <v>208</v>
      </c>
    </row>
    <row r="20" spans="1:22" s="29" customFormat="1" x14ac:dyDescent="0.2">
      <c r="A20" s="36"/>
      <c r="B20" s="29">
        <v>2012</v>
      </c>
      <c r="C20" s="29">
        <v>1</v>
      </c>
      <c r="D20" s="111">
        <v>7000000</v>
      </c>
      <c r="E20" s="111">
        <v>7000000</v>
      </c>
      <c r="F20" s="111">
        <v>0</v>
      </c>
      <c r="G20" s="111">
        <v>288681318.69999999</v>
      </c>
      <c r="I20" s="29" t="s">
        <v>89</v>
      </c>
      <c r="J20" s="29">
        <v>100</v>
      </c>
      <c r="K20" s="53">
        <f>J20*(1+K12)</f>
        <v>99.302568871374618</v>
      </c>
      <c r="L20" s="53">
        <f t="shared" ref="L20:V20" si="0">K20*(1+L12)</f>
        <v>100.37963693871572</v>
      </c>
      <c r="M20" s="53">
        <f t="shared" si="0"/>
        <v>99.891468491597337</v>
      </c>
      <c r="N20" s="53">
        <f t="shared" si="0"/>
        <v>102.68194125487933</v>
      </c>
      <c r="O20" s="53">
        <f t="shared" si="0"/>
        <v>104.41405623651146</v>
      </c>
      <c r="P20" s="53">
        <f t="shared" si="0"/>
        <v>103.53786614910527</v>
      </c>
      <c r="Q20" s="53">
        <f t="shared" si="0"/>
        <v>104.42034564567682</v>
      </c>
      <c r="R20" s="53">
        <f t="shared" si="0"/>
        <v>106.07226266440756</v>
      </c>
      <c r="S20" s="53">
        <f t="shared" si="0"/>
        <v>109.01176046495661</v>
      </c>
      <c r="T20" s="53">
        <f t="shared" si="0"/>
        <v>114.81997663368296</v>
      </c>
      <c r="U20" s="53">
        <f t="shared" si="0"/>
        <v>115.22373918887833</v>
      </c>
      <c r="V20" s="53">
        <f t="shared" si="0"/>
        <v>116.04364668412094</v>
      </c>
    </row>
    <row r="21" spans="1:22" s="29" customFormat="1" x14ac:dyDescent="0.2">
      <c r="A21" s="36"/>
      <c r="B21" s="29">
        <v>2012</v>
      </c>
      <c r="C21" s="29">
        <v>2</v>
      </c>
      <c r="D21" s="111">
        <v>14000000</v>
      </c>
      <c r="E21" s="111">
        <v>7000000</v>
      </c>
      <c r="F21" s="111">
        <v>7000000</v>
      </c>
      <c r="G21" s="111">
        <v>300296703.30000001</v>
      </c>
      <c r="I21" s="29" t="s">
        <v>91</v>
      </c>
      <c r="J21" s="29">
        <v>100</v>
      </c>
      <c r="K21" s="53">
        <f>J21*(1+K13)</f>
        <v>99.302568871374618</v>
      </c>
      <c r="L21" s="53">
        <f t="shared" ref="L21:V21" si="1">K21*(1+L13)</f>
        <v>97.55233326194535</v>
      </c>
      <c r="M21" s="53">
        <f t="shared" si="1"/>
        <v>97.077914619941964</v>
      </c>
      <c r="N21" s="53">
        <f t="shared" si="1"/>
        <v>97.41689912076292</v>
      </c>
      <c r="O21" s="53">
        <f t="shared" si="1"/>
        <v>99.06019947493499</v>
      </c>
      <c r="P21" s="53">
        <f t="shared" si="1"/>
        <v>95.683192634503015</v>
      </c>
      <c r="Q21" s="53">
        <f t="shared" si="1"/>
        <v>96.498724756295587</v>
      </c>
      <c r="R21" s="53">
        <f t="shared" si="1"/>
        <v>95.687719594799702</v>
      </c>
      <c r="S21" s="53">
        <f t="shared" si="1"/>
        <v>98.339438660870385</v>
      </c>
      <c r="T21" s="53">
        <f t="shared" si="1"/>
        <v>101.28670694008873</v>
      </c>
      <c r="U21" s="53">
        <f t="shared" si="1"/>
        <v>101.64287997548246</v>
      </c>
      <c r="V21" s="53">
        <f t="shared" si="1"/>
        <v>99.83470746440527</v>
      </c>
    </row>
    <row r="22" spans="1:22" s="29" customFormat="1" x14ac:dyDescent="0.2">
      <c r="A22" s="36"/>
      <c r="B22" s="29">
        <v>2012</v>
      </c>
      <c r="C22" s="29">
        <v>3</v>
      </c>
      <c r="D22" s="111">
        <v>1000000</v>
      </c>
      <c r="E22" s="111">
        <v>1000000</v>
      </c>
      <c r="F22" s="111">
        <v>0</v>
      </c>
      <c r="G22" s="111">
        <v>325000000</v>
      </c>
      <c r="I22" s="29" t="s">
        <v>95</v>
      </c>
      <c r="J22" s="29">
        <v>100</v>
      </c>
      <c r="K22" s="53">
        <f>J22*(1+K14)</f>
        <v>100</v>
      </c>
      <c r="L22" s="53">
        <f t="shared" ref="L22:V22" si="2">K22*(1+L14)</f>
        <v>102.84716066150568</v>
      </c>
      <c r="M22" s="53">
        <f t="shared" si="2"/>
        <v>102.84716066150568</v>
      </c>
      <c r="N22" s="53">
        <f t="shared" si="2"/>
        <v>105.36107080141007</v>
      </c>
      <c r="O22" s="53">
        <f t="shared" si="2"/>
        <v>105.36107080141007</v>
      </c>
      <c r="P22" s="53">
        <f t="shared" si="2"/>
        <v>108.06874022887072</v>
      </c>
      <c r="Q22" s="53">
        <f t="shared" si="2"/>
        <v>108.06874022887072</v>
      </c>
      <c r="R22" s="53">
        <f t="shared" si="2"/>
        <v>110.68661755487715</v>
      </c>
      <c r="S22" s="53">
        <f t="shared" si="2"/>
        <v>110.68661755487715</v>
      </c>
      <c r="T22" s="53">
        <f t="shared" si="2"/>
        <v>113.26675351510099</v>
      </c>
      <c r="U22" s="53">
        <f t="shared" si="2"/>
        <v>113.26675351510099</v>
      </c>
      <c r="V22" s="53">
        <f t="shared" si="2"/>
        <v>116.08769052755193</v>
      </c>
    </row>
    <row r="23" spans="1:22" s="29" customFormat="1" x14ac:dyDescent="0.2">
      <c r="A23" s="36"/>
      <c r="B23" s="29">
        <v>2012</v>
      </c>
      <c r="C23" s="29">
        <v>4</v>
      </c>
      <c r="D23" s="111">
        <v>2000000</v>
      </c>
      <c r="E23" s="111">
        <v>-6000000</v>
      </c>
      <c r="F23" s="111">
        <v>8000000</v>
      </c>
      <c r="G23" s="111">
        <v>321217391.30000001</v>
      </c>
      <c r="K23" s="60"/>
      <c r="L23" s="60"/>
      <c r="M23" s="60"/>
    </row>
    <row r="24" spans="1:22" s="29" customFormat="1" x14ac:dyDescent="0.2">
      <c r="A24" s="36"/>
      <c r="D24" s="30"/>
      <c r="K24" s="60"/>
      <c r="L24" s="60"/>
      <c r="M24" s="60"/>
    </row>
    <row r="25" spans="1:22" x14ac:dyDescent="0.2">
      <c r="B25" s="10"/>
    </row>
    <row r="26" spans="1:22" x14ac:dyDescent="0.2">
      <c r="B26" s="10"/>
    </row>
    <row r="27" spans="1:22" x14ac:dyDescent="0.2">
      <c r="A27"/>
      <c r="B27" s="3" t="s">
        <v>140</v>
      </c>
    </row>
    <row r="28" spans="1:22" ht="25.5" x14ac:dyDescent="0.2">
      <c r="A28"/>
      <c r="B28" s="4" t="s">
        <v>79</v>
      </c>
      <c r="C28" s="4" t="s">
        <v>80</v>
      </c>
      <c r="D28" s="37" t="s">
        <v>136</v>
      </c>
      <c r="E28" s="37" t="s">
        <v>137</v>
      </c>
      <c r="F28" s="37" t="s">
        <v>138</v>
      </c>
      <c r="G28" s="4" t="s">
        <v>139</v>
      </c>
      <c r="H28" s="38"/>
      <c r="K28"/>
      <c r="L28"/>
      <c r="M28"/>
    </row>
    <row r="29" spans="1:22" s="29" customFormat="1" x14ac:dyDescent="0.2">
      <c r="B29" s="29">
        <v>2010</v>
      </c>
      <c r="C29" s="29">
        <v>1</v>
      </c>
      <c r="D29" s="111">
        <v>-2200000</v>
      </c>
      <c r="E29" s="111">
        <v>-2200000</v>
      </c>
      <c r="F29" s="111">
        <v>0</v>
      </c>
      <c r="G29" s="111">
        <v>294960000</v>
      </c>
      <c r="I29"/>
      <c r="J29"/>
      <c r="K29"/>
      <c r="L29"/>
      <c r="M29"/>
      <c r="N29"/>
    </row>
    <row r="30" spans="1:22" s="29" customFormat="1" x14ac:dyDescent="0.2">
      <c r="A30" s="36"/>
      <c r="B30" s="29">
        <v>2010</v>
      </c>
      <c r="C30" s="29">
        <v>2</v>
      </c>
      <c r="D30" s="111">
        <v>4400000</v>
      </c>
      <c r="E30" s="111">
        <v>-6400000</v>
      </c>
      <c r="F30" s="111">
        <v>10800000</v>
      </c>
      <c r="G30" s="111">
        <v>379325274.69999999</v>
      </c>
      <c r="I30"/>
      <c r="J30"/>
      <c r="K30"/>
      <c r="L30"/>
      <c r="M30"/>
      <c r="N30"/>
    </row>
    <row r="31" spans="1:22" s="29" customFormat="1" x14ac:dyDescent="0.2">
      <c r="A31" s="36"/>
      <c r="B31" s="29">
        <v>2010</v>
      </c>
      <c r="C31" s="29">
        <v>3</v>
      </c>
      <c r="D31" s="111">
        <v>-2200000</v>
      </c>
      <c r="E31" s="111">
        <v>-2200000</v>
      </c>
      <c r="F31" s="111">
        <v>0</v>
      </c>
      <c r="G31" s="111">
        <v>423000000</v>
      </c>
      <c r="I31"/>
      <c r="J31"/>
      <c r="K31"/>
      <c r="L31"/>
      <c r="M31"/>
      <c r="N31"/>
    </row>
    <row r="32" spans="1:22" s="29" customFormat="1" x14ac:dyDescent="0.2">
      <c r="A32" s="36"/>
      <c r="B32" s="29">
        <v>2010</v>
      </c>
      <c r="C32" s="29">
        <v>4</v>
      </c>
      <c r="D32" s="111">
        <v>13200000</v>
      </c>
      <c r="E32" s="111">
        <v>2400000</v>
      </c>
      <c r="F32" s="111">
        <v>10800000</v>
      </c>
      <c r="G32" s="111">
        <v>441841304.30000001</v>
      </c>
      <c r="I32"/>
      <c r="J32"/>
      <c r="K32"/>
      <c r="L32"/>
      <c r="M32"/>
      <c r="N32"/>
    </row>
    <row r="33" spans="1:14" s="29" customFormat="1" x14ac:dyDescent="0.2">
      <c r="A33" s="36"/>
      <c r="B33" s="29">
        <v>2011</v>
      </c>
      <c r="C33" s="29">
        <v>1</v>
      </c>
      <c r="D33" s="111">
        <v>8800000</v>
      </c>
      <c r="E33" s="111">
        <v>8800000</v>
      </c>
      <c r="F33" s="111">
        <v>0</v>
      </c>
      <c r="G33" s="111">
        <v>487800000</v>
      </c>
      <c r="I33"/>
      <c r="J33"/>
      <c r="K33"/>
      <c r="L33"/>
      <c r="M33"/>
      <c r="N33"/>
    </row>
    <row r="34" spans="1:14" s="29" customFormat="1" x14ac:dyDescent="0.2">
      <c r="A34" s="36"/>
      <c r="B34" s="29">
        <v>2011</v>
      </c>
      <c r="C34" s="29">
        <v>2</v>
      </c>
      <c r="D34" s="111">
        <v>-4400000</v>
      </c>
      <c r="E34" s="111">
        <v>-17000000</v>
      </c>
      <c r="F34" s="111">
        <v>12600000</v>
      </c>
      <c r="G34" s="111">
        <v>490292307.69999999</v>
      </c>
      <c r="I34"/>
      <c r="J34"/>
      <c r="K34"/>
      <c r="L34"/>
      <c r="M34"/>
      <c r="N34"/>
    </row>
    <row r="35" spans="1:14" s="29" customFormat="1" x14ac:dyDescent="0.2">
      <c r="A35" s="36"/>
      <c r="B35" s="29">
        <v>2011</v>
      </c>
      <c r="C35" s="29">
        <v>3</v>
      </c>
      <c r="D35" s="111">
        <v>4400000</v>
      </c>
      <c r="E35" s="111">
        <v>4400000</v>
      </c>
      <c r="F35" s="111">
        <v>0</v>
      </c>
      <c r="G35" s="111">
        <v>482713043.5</v>
      </c>
      <c r="K35" s="60"/>
      <c r="L35" s="60"/>
      <c r="M35" s="60"/>
    </row>
    <row r="36" spans="1:14" s="29" customFormat="1" x14ac:dyDescent="0.2">
      <c r="A36" s="36"/>
      <c r="B36" s="29">
        <v>2011</v>
      </c>
      <c r="C36" s="29">
        <v>4</v>
      </c>
      <c r="D36" s="111">
        <v>8800000</v>
      </c>
      <c r="E36" s="111">
        <v>-3800000</v>
      </c>
      <c r="F36" s="111">
        <v>12600000</v>
      </c>
      <c r="G36" s="111">
        <v>520141304.30000001</v>
      </c>
      <c r="K36" s="60"/>
      <c r="L36" s="60"/>
      <c r="M36" s="60"/>
    </row>
    <row r="37" spans="1:14" s="29" customFormat="1" x14ac:dyDescent="0.2">
      <c r="A37" s="36"/>
      <c r="B37" s="29">
        <v>2012</v>
      </c>
      <c r="C37" s="29">
        <v>1</v>
      </c>
      <c r="D37" s="111">
        <v>15400000</v>
      </c>
      <c r="E37" s="111">
        <v>15400000</v>
      </c>
      <c r="F37" s="111">
        <v>0</v>
      </c>
      <c r="G37" s="111">
        <v>519626373.60000002</v>
      </c>
      <c r="K37" s="60"/>
      <c r="L37" s="60"/>
      <c r="M37" s="60"/>
    </row>
    <row r="38" spans="1:14" s="29" customFormat="1" x14ac:dyDescent="0.2">
      <c r="A38" s="36"/>
      <c r="B38" s="29">
        <v>2012</v>
      </c>
      <c r="C38" s="29">
        <v>2</v>
      </c>
      <c r="D38" s="111">
        <v>30800000</v>
      </c>
      <c r="E38" s="111">
        <v>18200000</v>
      </c>
      <c r="F38" s="111">
        <v>12600000</v>
      </c>
      <c r="G38" s="111">
        <v>540534065.89999998</v>
      </c>
      <c r="K38" s="60"/>
      <c r="L38" s="60"/>
      <c r="M38" s="60"/>
    </row>
    <row r="39" spans="1:14" s="29" customFormat="1" x14ac:dyDescent="0.2">
      <c r="A39" s="36"/>
      <c r="B39" s="29">
        <v>2012</v>
      </c>
      <c r="C39" s="29">
        <v>3</v>
      </c>
      <c r="D39" s="111">
        <v>2200000</v>
      </c>
      <c r="E39" s="111">
        <v>2200000</v>
      </c>
      <c r="F39" s="111">
        <v>0</v>
      </c>
      <c r="G39" s="111">
        <v>585000000</v>
      </c>
      <c r="K39" s="60"/>
      <c r="L39" s="60"/>
      <c r="M39" s="60"/>
    </row>
    <row r="40" spans="1:14" s="29" customFormat="1" x14ac:dyDescent="0.2">
      <c r="A40" s="36"/>
      <c r="B40" s="29">
        <v>2012</v>
      </c>
      <c r="C40" s="29">
        <v>4</v>
      </c>
      <c r="D40" s="111">
        <v>4400000</v>
      </c>
      <c r="E40" s="111">
        <v>-10000000</v>
      </c>
      <c r="F40" s="111">
        <v>14400000</v>
      </c>
      <c r="G40" s="111">
        <v>578191304.29999995</v>
      </c>
      <c r="K40" s="60"/>
      <c r="L40" s="60"/>
      <c r="M40" s="60"/>
    </row>
    <row r="41" spans="1:14" s="29" customFormat="1" x14ac:dyDescent="0.2">
      <c r="A41" s="36"/>
      <c r="D41" s="74"/>
      <c r="E41" s="74"/>
      <c r="F41" s="74"/>
      <c r="G41" s="74"/>
      <c r="K41" s="60"/>
      <c r="L41" s="60"/>
      <c r="M41" s="60"/>
    </row>
    <row r="42" spans="1:14" s="29" customFormat="1" x14ac:dyDescent="0.2">
      <c r="A42" s="36"/>
      <c r="D42" s="74"/>
      <c r="E42" s="74"/>
      <c r="F42" s="74"/>
      <c r="G42" s="74"/>
      <c r="K42" s="60"/>
      <c r="L42" s="60"/>
      <c r="M42" s="60"/>
    </row>
    <row r="43" spans="1:14" s="29" customFormat="1" x14ac:dyDescent="0.2">
      <c r="A43" s="36"/>
      <c r="D43" s="74"/>
      <c r="E43" s="74"/>
      <c r="F43" s="74"/>
      <c r="G43" s="74"/>
      <c r="K43" s="60"/>
      <c r="L43" s="60"/>
      <c r="M43" s="60"/>
    </row>
    <row r="44" spans="1:14" s="29" customFormat="1" x14ac:dyDescent="0.2">
      <c r="A44" s="36"/>
      <c r="B44" s="12"/>
      <c r="C44" s="12"/>
      <c r="D44" s="76"/>
      <c r="E44" s="76"/>
      <c r="F44" s="76"/>
      <c r="G44" s="76"/>
      <c r="K44" s="60"/>
      <c r="L44" s="60"/>
      <c r="M44" s="60"/>
    </row>
    <row r="45" spans="1:14" s="29" customFormat="1" x14ac:dyDescent="0.2">
      <c r="A45" s="36"/>
      <c r="B45" s="22" t="s">
        <v>222</v>
      </c>
      <c r="C45" s="12"/>
      <c r="D45" s="76"/>
      <c r="E45" s="12"/>
      <c r="F45" s="76"/>
      <c r="G45" s="76"/>
      <c r="K45" s="60"/>
      <c r="L45" s="60"/>
      <c r="M45" s="60"/>
    </row>
    <row r="46" spans="1:14" s="29" customFormat="1" x14ac:dyDescent="0.2">
      <c r="A46" s="36"/>
      <c r="B46" s="22" t="s">
        <v>223</v>
      </c>
      <c r="C46" s="12"/>
      <c r="D46" s="76"/>
      <c r="E46" s="76"/>
      <c r="F46" s="76"/>
      <c r="G46" s="76"/>
      <c r="K46" s="60"/>
      <c r="L46" s="60"/>
      <c r="M46" s="60"/>
    </row>
    <row r="47" spans="1:14" s="29" customFormat="1" x14ac:dyDescent="0.2">
      <c r="A47" s="36"/>
      <c r="B47" s="22" t="s">
        <v>224</v>
      </c>
      <c r="C47" s="12"/>
      <c r="D47" s="76"/>
      <c r="E47" s="76"/>
      <c r="F47" s="76"/>
      <c r="G47" s="76"/>
      <c r="K47" s="60"/>
      <c r="L47" s="60"/>
      <c r="M47" s="60"/>
    </row>
    <row r="48" spans="1:14" s="29" customFormat="1" x14ac:dyDescent="0.2">
      <c r="A48" s="36"/>
      <c r="B48" s="12"/>
      <c r="C48" s="12"/>
      <c r="D48" s="76"/>
      <c r="E48" s="76"/>
      <c r="F48" s="76"/>
      <c r="G48" s="76"/>
      <c r="K48" s="60"/>
      <c r="L48" s="60"/>
      <c r="M48" s="60"/>
    </row>
    <row r="49" spans="1:14" s="29" customFormat="1" x14ac:dyDescent="0.2">
      <c r="A49" s="36"/>
      <c r="D49" s="74"/>
      <c r="E49" s="74"/>
      <c r="F49" s="74"/>
      <c r="G49" s="74"/>
      <c r="K49" s="60"/>
      <c r="L49" s="60"/>
      <c r="M49" s="60"/>
    </row>
    <row r="50" spans="1:14" s="29" customFormat="1" x14ac:dyDescent="0.2">
      <c r="A50" s="36"/>
      <c r="D50" s="74"/>
      <c r="E50" s="74"/>
      <c r="F50" s="74"/>
      <c r="G50" s="74"/>
      <c r="K50" s="60"/>
      <c r="L50" s="60"/>
      <c r="M50" s="60"/>
    </row>
    <row r="51" spans="1:14" s="29" customFormat="1" x14ac:dyDescent="0.2">
      <c r="A51" s="36"/>
      <c r="D51" s="74"/>
      <c r="E51" s="74"/>
      <c r="F51" s="74"/>
      <c r="G51" s="74"/>
      <c r="K51" s="60"/>
      <c r="L51" s="60"/>
      <c r="M51" s="60"/>
    </row>
    <row r="52" spans="1:14" x14ac:dyDescent="0.2">
      <c r="A52"/>
      <c r="B52" s="27" t="s">
        <v>225</v>
      </c>
      <c r="C52" s="12"/>
      <c r="D52" s="12"/>
      <c r="E52" s="12"/>
      <c r="F52" s="12"/>
      <c r="G52" s="12"/>
    </row>
    <row r="53" spans="1:14" ht="25.5" x14ac:dyDescent="0.2">
      <c r="A53"/>
      <c r="B53" s="81" t="s">
        <v>79</v>
      </c>
      <c r="C53" s="81" t="s">
        <v>80</v>
      </c>
      <c r="D53" s="82" t="s">
        <v>136</v>
      </c>
      <c r="E53" s="82" t="s">
        <v>137</v>
      </c>
      <c r="F53" s="82" t="s">
        <v>138</v>
      </c>
      <c r="G53" s="81" t="s">
        <v>139</v>
      </c>
      <c r="H53" s="38"/>
      <c r="K53"/>
      <c r="L53"/>
      <c r="M53"/>
    </row>
    <row r="54" spans="1:14" s="29" customFormat="1" x14ac:dyDescent="0.2">
      <c r="B54" s="12">
        <v>2010</v>
      </c>
      <c r="C54" s="12">
        <v>1</v>
      </c>
      <c r="D54" s="80">
        <f>SUM(D12,D29)</f>
        <v>-3200000</v>
      </c>
      <c r="E54" s="80">
        <f t="shared" ref="E54:G54" si="3">SUM(E12,E29)</f>
        <v>-3200000</v>
      </c>
      <c r="F54" s="80">
        <f t="shared" si="3"/>
        <v>0</v>
      </c>
      <c r="G54" s="79">
        <f t="shared" si="3"/>
        <v>458826666.69999999</v>
      </c>
      <c r="I54"/>
      <c r="J54"/>
      <c r="K54"/>
      <c r="L54"/>
      <c r="M54"/>
      <c r="N54"/>
    </row>
    <row r="55" spans="1:14" s="29" customFormat="1" x14ac:dyDescent="0.2">
      <c r="A55" s="36"/>
      <c r="B55" s="12">
        <v>2010</v>
      </c>
      <c r="C55" s="12">
        <v>2</v>
      </c>
      <c r="D55" s="80">
        <f t="shared" ref="D55:G55" si="4">SUM(D13,D30)</f>
        <v>6400000</v>
      </c>
      <c r="E55" s="80">
        <f t="shared" si="4"/>
        <v>-10400000</v>
      </c>
      <c r="F55" s="80">
        <f t="shared" si="4"/>
        <v>16800000</v>
      </c>
      <c r="G55" s="79">
        <f t="shared" si="4"/>
        <v>590061538.39999998</v>
      </c>
      <c r="I55"/>
      <c r="J55"/>
      <c r="K55"/>
      <c r="L55"/>
      <c r="M55"/>
      <c r="N55"/>
    </row>
    <row r="56" spans="1:14" s="29" customFormat="1" x14ac:dyDescent="0.2">
      <c r="A56" s="36"/>
      <c r="B56" s="12">
        <v>2010</v>
      </c>
      <c r="C56" s="12">
        <v>3</v>
      </c>
      <c r="D56" s="80">
        <f t="shared" ref="D56:G56" si="5">SUM(D14,D31)</f>
        <v>-3200000</v>
      </c>
      <c r="E56" s="80">
        <f t="shared" si="5"/>
        <v>-3200000</v>
      </c>
      <c r="F56" s="80">
        <f t="shared" si="5"/>
        <v>0</v>
      </c>
      <c r="G56" s="79">
        <f t="shared" si="5"/>
        <v>658000000</v>
      </c>
      <c r="I56"/>
      <c r="J56"/>
      <c r="K56"/>
      <c r="L56"/>
      <c r="M56"/>
      <c r="N56"/>
    </row>
    <row r="57" spans="1:14" s="29" customFormat="1" x14ac:dyDescent="0.2">
      <c r="A57" s="36"/>
      <c r="B57" s="12">
        <v>2010</v>
      </c>
      <c r="C57" s="12">
        <v>4</v>
      </c>
      <c r="D57" s="80">
        <f t="shared" ref="D57:G57" si="6">SUM(D15,D32)</f>
        <v>19200000</v>
      </c>
      <c r="E57" s="80">
        <f t="shared" si="6"/>
        <v>2400000</v>
      </c>
      <c r="F57" s="80">
        <f t="shared" si="6"/>
        <v>16800000</v>
      </c>
      <c r="G57" s="79">
        <f t="shared" si="6"/>
        <v>687308695.60000002</v>
      </c>
      <c r="I57"/>
      <c r="J57"/>
      <c r="K57"/>
      <c r="L57"/>
      <c r="M57"/>
      <c r="N57"/>
    </row>
    <row r="58" spans="1:14" s="29" customFormat="1" x14ac:dyDescent="0.2">
      <c r="A58" s="36"/>
      <c r="B58" s="12">
        <v>2011</v>
      </c>
      <c r="C58" s="12">
        <v>1</v>
      </c>
      <c r="D58" s="80">
        <f t="shared" ref="D58:G58" si="7">SUM(D16,D33)</f>
        <v>12800000</v>
      </c>
      <c r="E58" s="80">
        <f t="shared" si="7"/>
        <v>12800000</v>
      </c>
      <c r="F58" s="80">
        <f t="shared" si="7"/>
        <v>0</v>
      </c>
      <c r="G58" s="79">
        <f t="shared" si="7"/>
        <v>758800000</v>
      </c>
      <c r="I58"/>
      <c r="J58"/>
      <c r="K58"/>
      <c r="L58"/>
      <c r="M58"/>
      <c r="N58"/>
    </row>
    <row r="59" spans="1:14" s="29" customFormat="1" x14ac:dyDescent="0.2">
      <c r="A59" s="36"/>
      <c r="B59" s="12">
        <v>2011</v>
      </c>
      <c r="C59" s="12">
        <v>2</v>
      </c>
      <c r="D59" s="80">
        <f t="shared" ref="D59:G59" si="8">SUM(D17,D34)</f>
        <v>-6400000</v>
      </c>
      <c r="E59" s="80">
        <f t="shared" si="8"/>
        <v>-26000000</v>
      </c>
      <c r="F59" s="80">
        <f t="shared" si="8"/>
        <v>19600000</v>
      </c>
      <c r="G59" s="79">
        <f t="shared" si="8"/>
        <v>762676923.0999999</v>
      </c>
      <c r="I59"/>
      <c r="J59"/>
      <c r="K59"/>
      <c r="L59"/>
      <c r="M59"/>
      <c r="N59"/>
    </row>
    <row r="60" spans="1:14" s="29" customFormat="1" x14ac:dyDescent="0.2">
      <c r="A60" s="36"/>
      <c r="B60" s="12">
        <v>2011</v>
      </c>
      <c r="C60" s="12">
        <v>3</v>
      </c>
      <c r="D60" s="80">
        <f t="shared" ref="D60:G60" si="9">SUM(D18,D35)</f>
        <v>6400000</v>
      </c>
      <c r="E60" s="80">
        <f t="shared" si="9"/>
        <v>6400000</v>
      </c>
      <c r="F60" s="80">
        <f t="shared" si="9"/>
        <v>0</v>
      </c>
      <c r="G60" s="79">
        <f t="shared" si="9"/>
        <v>750886956.5</v>
      </c>
      <c r="K60" s="60"/>
      <c r="L60" s="60"/>
      <c r="M60" s="60"/>
    </row>
    <row r="61" spans="1:14" s="29" customFormat="1" x14ac:dyDescent="0.2">
      <c r="A61" s="36"/>
      <c r="B61" s="12">
        <v>2011</v>
      </c>
      <c r="C61" s="12">
        <v>4</v>
      </c>
      <c r="D61" s="80">
        <f t="shared" ref="D61:G61" si="10">SUM(D19,D36)</f>
        <v>12800000</v>
      </c>
      <c r="E61" s="80">
        <f t="shared" si="10"/>
        <v>-6800000</v>
      </c>
      <c r="F61" s="80">
        <f t="shared" si="10"/>
        <v>19600000</v>
      </c>
      <c r="G61" s="79">
        <f t="shared" si="10"/>
        <v>809108695.60000002</v>
      </c>
      <c r="K61" s="60"/>
      <c r="L61" s="60"/>
      <c r="M61" s="60"/>
    </row>
    <row r="62" spans="1:14" s="29" customFormat="1" x14ac:dyDescent="0.2">
      <c r="A62" s="36"/>
      <c r="B62" s="12">
        <v>2012</v>
      </c>
      <c r="C62" s="12">
        <v>1</v>
      </c>
      <c r="D62" s="80">
        <f t="shared" ref="D62:G62" si="11">SUM(D20,D37)</f>
        <v>22400000</v>
      </c>
      <c r="E62" s="80">
        <f t="shared" si="11"/>
        <v>22400000</v>
      </c>
      <c r="F62" s="80">
        <f t="shared" si="11"/>
        <v>0</v>
      </c>
      <c r="G62" s="79">
        <f t="shared" si="11"/>
        <v>808307692.29999995</v>
      </c>
      <c r="K62" s="60"/>
      <c r="L62" s="60"/>
      <c r="M62" s="60"/>
    </row>
    <row r="63" spans="1:14" s="29" customFormat="1" x14ac:dyDescent="0.2">
      <c r="A63" s="36"/>
      <c r="B63" s="12">
        <v>2012</v>
      </c>
      <c r="C63" s="12">
        <v>2</v>
      </c>
      <c r="D63" s="80">
        <f t="shared" ref="D63:G63" si="12">SUM(D21,D38)</f>
        <v>44800000</v>
      </c>
      <c r="E63" s="80">
        <f t="shared" si="12"/>
        <v>25200000</v>
      </c>
      <c r="F63" s="80">
        <f t="shared" si="12"/>
        <v>19600000</v>
      </c>
      <c r="G63" s="79">
        <f t="shared" si="12"/>
        <v>840830769.20000005</v>
      </c>
      <c r="K63" s="60"/>
      <c r="L63" s="60"/>
      <c r="M63" s="60"/>
    </row>
    <row r="64" spans="1:14" s="29" customFormat="1" x14ac:dyDescent="0.2">
      <c r="A64" s="36"/>
      <c r="B64" s="12">
        <v>2012</v>
      </c>
      <c r="C64" s="12">
        <v>3</v>
      </c>
      <c r="D64" s="80">
        <f t="shared" ref="D64:G65" si="13">SUM(D22,D39)</f>
        <v>3200000</v>
      </c>
      <c r="E64" s="80">
        <f t="shared" si="13"/>
        <v>3200000</v>
      </c>
      <c r="F64" s="80">
        <f t="shared" si="13"/>
        <v>0</v>
      </c>
      <c r="G64" s="79">
        <f t="shared" si="13"/>
        <v>910000000</v>
      </c>
      <c r="K64" s="60"/>
      <c r="L64" s="60"/>
      <c r="M64" s="60"/>
    </row>
    <row r="65" spans="1:13" s="29" customFormat="1" x14ac:dyDescent="0.2">
      <c r="A65" s="36"/>
      <c r="B65" s="12">
        <v>2012</v>
      </c>
      <c r="C65" s="12">
        <v>4</v>
      </c>
      <c r="D65" s="80">
        <f t="shared" si="13"/>
        <v>6400000</v>
      </c>
      <c r="E65" s="80">
        <f t="shared" si="13"/>
        <v>-16000000</v>
      </c>
      <c r="F65" s="80">
        <f t="shared" si="13"/>
        <v>22400000</v>
      </c>
      <c r="G65" s="79">
        <f t="shared" si="13"/>
        <v>899408695.5999999</v>
      </c>
      <c r="K65" s="60"/>
      <c r="L65" s="60"/>
      <c r="M65" s="60"/>
    </row>
    <row r="66" spans="1:13" s="29" customFormat="1" x14ac:dyDescent="0.2">
      <c r="A66" s="36"/>
      <c r="D66" s="74"/>
      <c r="E66" s="74"/>
      <c r="F66" s="74"/>
      <c r="G66" s="74"/>
      <c r="K66" s="60"/>
      <c r="L66" s="60"/>
      <c r="M66" s="60"/>
    </row>
    <row r="67" spans="1:13" s="29" customFormat="1" x14ac:dyDescent="0.2">
      <c r="A67" s="36"/>
      <c r="D67" s="74"/>
      <c r="E67" s="74"/>
      <c r="F67" s="74"/>
      <c r="G67" s="74"/>
      <c r="K67" s="60"/>
      <c r="L67" s="60"/>
      <c r="M67" s="60"/>
    </row>
    <row r="68" spans="1:13" s="29" customFormat="1" x14ac:dyDescent="0.2">
      <c r="A68" s="36"/>
      <c r="D68" s="74"/>
      <c r="E68" s="74"/>
      <c r="F68" s="74"/>
      <c r="G68" s="74"/>
      <c r="K68" s="60"/>
      <c r="L68" s="60"/>
      <c r="M68" s="60"/>
    </row>
    <row r="69" spans="1:13" s="29" customFormat="1" x14ac:dyDescent="0.2">
      <c r="A69" s="36"/>
      <c r="B69" s="27" t="s">
        <v>226</v>
      </c>
      <c r="C69" s="12"/>
      <c r="D69" s="12"/>
      <c r="E69" s="12"/>
      <c r="F69" s="12"/>
      <c r="G69" s="12"/>
      <c r="K69" s="60"/>
      <c r="L69" s="60"/>
      <c r="M69" s="60"/>
    </row>
    <row r="70" spans="1:13" s="29" customFormat="1" ht="25.5" x14ac:dyDescent="0.2">
      <c r="A70" s="36"/>
      <c r="B70" s="81" t="s">
        <v>79</v>
      </c>
      <c r="C70" s="81" t="s">
        <v>80</v>
      </c>
      <c r="D70" s="82" t="s">
        <v>89</v>
      </c>
      <c r="E70" s="82" t="s">
        <v>91</v>
      </c>
      <c r="F70" s="82" t="s">
        <v>95</v>
      </c>
      <c r="G70" s="83"/>
      <c r="K70" s="60"/>
      <c r="L70" s="60"/>
      <c r="M70" s="60"/>
    </row>
    <row r="71" spans="1:13" s="29" customFormat="1" x14ac:dyDescent="0.2">
      <c r="A71" s="36"/>
      <c r="B71" s="12">
        <v>2010</v>
      </c>
      <c r="C71" s="12">
        <v>1</v>
      </c>
      <c r="D71" s="77">
        <f>D54/$G54</f>
        <v>-6.9743112862537555E-3</v>
      </c>
      <c r="E71" s="77">
        <f t="shared" ref="E71:F71" si="14">E54/$G54</f>
        <v>-6.9743112862537555E-3</v>
      </c>
      <c r="F71" s="77">
        <f t="shared" si="14"/>
        <v>0</v>
      </c>
      <c r="G71" s="12"/>
      <c r="K71" s="60"/>
      <c r="L71" s="60"/>
      <c r="M71" s="60"/>
    </row>
    <row r="72" spans="1:13" s="29" customFormat="1" x14ac:dyDescent="0.2">
      <c r="A72" s="36"/>
      <c r="B72" s="12">
        <v>2010</v>
      </c>
      <c r="C72" s="12">
        <v>2</v>
      </c>
      <c r="D72" s="77">
        <f t="shared" ref="D72:F72" si="15">D55/$G55</f>
        <v>1.0846326329545427E-2</v>
      </c>
      <c r="E72" s="77">
        <f t="shared" si="15"/>
        <v>-1.762528028551132E-2</v>
      </c>
      <c r="F72" s="77">
        <f t="shared" si="15"/>
        <v>2.8471606615056749E-2</v>
      </c>
      <c r="G72" s="12"/>
      <c r="K72" s="60"/>
      <c r="L72" s="60"/>
      <c r="M72" s="60"/>
    </row>
    <row r="73" spans="1:13" s="29" customFormat="1" x14ac:dyDescent="0.2">
      <c r="A73" s="36"/>
      <c r="B73" s="12">
        <v>2010</v>
      </c>
      <c r="C73" s="12">
        <v>3</v>
      </c>
      <c r="D73" s="77">
        <f t="shared" ref="D73:F73" si="16">D56/$G56</f>
        <v>-4.8632218844984806E-3</v>
      </c>
      <c r="E73" s="77">
        <f t="shared" si="16"/>
        <v>-4.8632218844984806E-3</v>
      </c>
      <c r="F73" s="77">
        <f t="shared" si="16"/>
        <v>0</v>
      </c>
      <c r="G73" s="12"/>
      <c r="K73" s="60"/>
      <c r="L73" s="60"/>
      <c r="M73" s="60"/>
    </row>
    <row r="74" spans="1:13" s="29" customFormat="1" x14ac:dyDescent="0.2">
      <c r="A74" s="36"/>
      <c r="B74" s="12">
        <v>2010</v>
      </c>
      <c r="C74" s="12">
        <v>4</v>
      </c>
      <c r="D74" s="77">
        <f t="shared" ref="D74:F74" si="17">D57/$G57</f>
        <v>2.7935045959572753E-2</v>
      </c>
      <c r="E74" s="77">
        <f t="shared" si="17"/>
        <v>3.4918807449465942E-3</v>
      </c>
      <c r="F74" s="77">
        <f t="shared" si="17"/>
        <v>2.444316521462616E-2</v>
      </c>
      <c r="G74" s="12"/>
      <c r="K74" s="60"/>
      <c r="L74" s="60"/>
      <c r="M74" s="60"/>
    </row>
    <row r="75" spans="1:13" s="29" customFormat="1" x14ac:dyDescent="0.2">
      <c r="A75" s="36"/>
      <c r="B75" s="12">
        <v>2011</v>
      </c>
      <c r="C75" s="12">
        <v>1</v>
      </c>
      <c r="D75" s="77">
        <f t="shared" ref="D75:F75" si="18">D58/$G58</f>
        <v>1.6868740115972589E-2</v>
      </c>
      <c r="E75" s="77">
        <f t="shared" si="18"/>
        <v>1.6868740115972589E-2</v>
      </c>
      <c r="F75" s="77">
        <f t="shared" si="18"/>
        <v>0</v>
      </c>
      <c r="G75" s="12"/>
      <c r="K75" s="60"/>
      <c r="L75" s="60"/>
      <c r="M75" s="60"/>
    </row>
    <row r="76" spans="1:13" s="29" customFormat="1" x14ac:dyDescent="0.2">
      <c r="A76" s="36"/>
      <c r="B76" s="12">
        <v>2011</v>
      </c>
      <c r="C76" s="12">
        <v>2</v>
      </c>
      <c r="D76" s="77">
        <f t="shared" ref="D76:F76" si="19">D59/$G59</f>
        <v>-8.3914955417640855E-3</v>
      </c>
      <c r="E76" s="77">
        <f t="shared" si="19"/>
        <v>-3.4090450638416599E-2</v>
      </c>
      <c r="F76" s="77">
        <f t="shared" si="19"/>
        <v>2.5698955096652515E-2</v>
      </c>
      <c r="G76" s="12"/>
      <c r="K76" s="60"/>
      <c r="L76" s="60"/>
      <c r="M76" s="60"/>
    </row>
    <row r="77" spans="1:13" s="29" customFormat="1" x14ac:dyDescent="0.2">
      <c r="A77" s="36"/>
      <c r="B77" s="12">
        <v>2011</v>
      </c>
      <c r="C77" s="12">
        <v>3</v>
      </c>
      <c r="D77" s="77">
        <f t="shared" ref="D77:F77" si="20">D60/$G60</f>
        <v>8.5232536596871883E-3</v>
      </c>
      <c r="E77" s="77">
        <f t="shared" si="20"/>
        <v>8.5232536596871883E-3</v>
      </c>
      <c r="F77" s="77">
        <f t="shared" si="20"/>
        <v>0</v>
      </c>
      <c r="G77" s="12"/>
      <c r="K77" s="60"/>
      <c r="L77" s="60"/>
      <c r="M77" s="60"/>
    </row>
    <row r="78" spans="1:13" s="29" customFormat="1" x14ac:dyDescent="0.2">
      <c r="A78" s="36"/>
      <c r="B78" s="12">
        <v>2011</v>
      </c>
      <c r="C78" s="12">
        <v>4</v>
      </c>
      <c r="D78" s="77">
        <f t="shared" ref="D78:F78" si="21">D61/$G61</f>
        <v>1.5819876945591439E-2</v>
      </c>
      <c r="E78" s="77">
        <f t="shared" si="21"/>
        <v>-8.4043096273454503E-3</v>
      </c>
      <c r="F78" s="77">
        <f t="shared" si="21"/>
        <v>2.4224186572936887E-2</v>
      </c>
      <c r="G78" s="12"/>
      <c r="K78" s="60"/>
      <c r="L78" s="60"/>
      <c r="M78" s="60"/>
    </row>
    <row r="79" spans="1:13" s="29" customFormat="1" x14ac:dyDescent="0.2">
      <c r="A79" s="36"/>
      <c r="B79" s="12">
        <v>2012</v>
      </c>
      <c r="C79" s="12">
        <v>1</v>
      </c>
      <c r="D79" s="77">
        <f t="shared" ref="D79:F79" si="22">D62/$G62</f>
        <v>2.7712219261778762E-2</v>
      </c>
      <c r="E79" s="77">
        <f t="shared" si="22"/>
        <v>2.7712219261778762E-2</v>
      </c>
      <c r="F79" s="77">
        <f t="shared" si="22"/>
        <v>0</v>
      </c>
      <c r="G79" s="12"/>
      <c r="K79" s="60"/>
      <c r="L79" s="60"/>
      <c r="M79" s="60"/>
    </row>
    <row r="80" spans="1:13" s="29" customFormat="1" x14ac:dyDescent="0.2">
      <c r="A80" s="36"/>
      <c r="B80" s="12">
        <v>2012</v>
      </c>
      <c r="C80" s="12">
        <v>2</v>
      </c>
      <c r="D80" s="77">
        <f t="shared" ref="D80:F80" si="23">D63/$G63</f>
        <v>5.3280638198605061E-2</v>
      </c>
      <c r="E80" s="77">
        <f t="shared" si="23"/>
        <v>2.9970358986715347E-2</v>
      </c>
      <c r="F80" s="77">
        <f t="shared" si="23"/>
        <v>2.3310279211889714E-2</v>
      </c>
      <c r="G80" s="12"/>
      <c r="K80" s="60"/>
      <c r="L80" s="60"/>
      <c r="M80" s="60"/>
    </row>
    <row r="81" spans="1:13" s="29" customFormat="1" x14ac:dyDescent="0.2">
      <c r="A81" s="36"/>
      <c r="B81" s="12">
        <v>2012</v>
      </c>
      <c r="C81" s="12">
        <v>3</v>
      </c>
      <c r="D81" s="77">
        <f t="shared" ref="D81:F81" si="24">D64/$G64</f>
        <v>3.5164835164835165E-3</v>
      </c>
      <c r="E81" s="77">
        <f t="shared" si="24"/>
        <v>3.5164835164835165E-3</v>
      </c>
      <c r="F81" s="77">
        <f t="shared" si="24"/>
        <v>0</v>
      </c>
      <c r="G81" s="12"/>
      <c r="K81" s="60"/>
      <c r="L81" s="60"/>
      <c r="M81" s="60"/>
    </row>
    <row r="82" spans="1:13" s="29" customFormat="1" x14ac:dyDescent="0.2">
      <c r="A82" s="36"/>
      <c r="B82" s="12">
        <v>2012</v>
      </c>
      <c r="C82" s="12">
        <v>4</v>
      </c>
      <c r="D82" s="77">
        <f t="shared" ref="D82:F82" si="25">D65/$G65</f>
        <v>7.1157862174442612E-3</v>
      </c>
      <c r="E82" s="77">
        <f t="shared" si="25"/>
        <v>-1.7789465543610654E-2</v>
      </c>
      <c r="F82" s="77">
        <f t="shared" si="25"/>
        <v>2.4905251761054913E-2</v>
      </c>
      <c r="G82" s="12"/>
      <c r="K82" s="60"/>
      <c r="L82" s="60"/>
      <c r="M82" s="60"/>
    </row>
    <row r="83" spans="1:13" s="29" customFormat="1" x14ac:dyDescent="0.2">
      <c r="A83" s="36"/>
      <c r="D83" s="74"/>
      <c r="E83" s="74"/>
      <c r="F83" s="74"/>
      <c r="G83"/>
      <c r="K83" s="60"/>
      <c r="L83" s="60"/>
      <c r="M83" s="60"/>
    </row>
    <row r="84" spans="1:13" s="29" customFormat="1" x14ac:dyDescent="0.2">
      <c r="A84" s="36"/>
      <c r="D84" s="74"/>
      <c r="E84" s="74"/>
      <c r="F84" s="74"/>
      <c r="G84" s="74"/>
      <c r="K84" s="60"/>
      <c r="L84" s="60"/>
      <c r="M84" s="60"/>
    </row>
  </sheetData>
  <mergeCells count="1">
    <mergeCell ref="I1:M1"/>
  </mergeCells>
  <hyperlinks>
    <hyperlink ref="I1:M1" location="'Table of Contents'!A1" display="Back to Table of Contents" xr:uid="{E034C6D8-34BB-40D7-9581-884415EBF8AA}"/>
  </hyperlink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D7075-8678-4F1D-8C93-2C9A051AC5BC}">
  <sheetPr>
    <tabColor theme="5"/>
  </sheetPr>
  <dimension ref="A1:Z47"/>
  <sheetViews>
    <sheetView showGridLines="0" zoomScaleNormal="100" zoomScalePageLayoutView="85" workbookViewId="0">
      <pane ySplit="6" topLeftCell="A7" activePane="bottomLeft" state="frozen"/>
      <selection activeCell="B9" sqref="B9"/>
      <selection pane="bottomLeft"/>
    </sheetView>
  </sheetViews>
  <sheetFormatPr defaultColWidth="8.7109375" defaultRowHeight="12.75" x14ac:dyDescent="0.2"/>
  <cols>
    <col min="1" max="1" width="7.28515625" style="7" customWidth="1"/>
    <col min="2" max="2" width="22.28515625" customWidth="1"/>
    <col min="3" max="10" width="8.7109375" customWidth="1"/>
    <col min="12" max="12" width="8.7109375" customWidth="1"/>
    <col min="14" max="14" width="8.7109375" customWidth="1"/>
    <col min="15" max="15" width="7.85546875" customWidth="1"/>
    <col min="16" max="16" width="21.28515625" customWidth="1"/>
    <col min="17" max="19" width="9.7109375" customWidth="1"/>
    <col min="22" max="22" width="15.42578125" customWidth="1"/>
    <col min="24" max="24" width="12" customWidth="1"/>
  </cols>
  <sheetData>
    <row r="1" spans="1:19" s="1" customFormat="1" ht="34.9" customHeight="1" x14ac:dyDescent="0.2">
      <c r="A1" s="6"/>
      <c r="B1" s="2" t="str">
        <f ca="1">MID(CELL("filename",A1),FIND("]",CELL("filename",A1))+ 1,255)&amp;" - calculation example"</f>
        <v>Four quarters rolling return - calculation example</v>
      </c>
      <c r="M1" s="181" t="s">
        <v>68</v>
      </c>
      <c r="N1" s="181"/>
      <c r="O1" s="181"/>
      <c r="P1" s="181"/>
      <c r="Q1" s="181"/>
    </row>
    <row r="3" spans="1:19" x14ac:dyDescent="0.2">
      <c r="A3"/>
    </row>
    <row r="4" spans="1:19" ht="13.15" customHeight="1" x14ac:dyDescent="0.2">
      <c r="A4"/>
      <c r="B4" s="12" t="s">
        <v>69</v>
      </c>
      <c r="C4" s="12" t="s">
        <v>70</v>
      </c>
      <c r="D4" s="12"/>
    </row>
    <row r="5" spans="1:19" x14ac:dyDescent="0.2">
      <c r="A5"/>
      <c r="B5" s="12" t="s">
        <v>72</v>
      </c>
      <c r="C5" s="12" t="s">
        <v>73</v>
      </c>
      <c r="D5" s="12"/>
    </row>
    <row r="6" spans="1:19" x14ac:dyDescent="0.2">
      <c r="A6"/>
      <c r="B6" s="12" t="s">
        <v>74</v>
      </c>
      <c r="C6" s="12" t="s">
        <v>75</v>
      </c>
      <c r="D6" s="12"/>
    </row>
    <row r="7" spans="1:19" x14ac:dyDescent="0.2">
      <c r="A7"/>
    </row>
    <row r="8" spans="1:19" x14ac:dyDescent="0.2">
      <c r="A8"/>
    </row>
    <row r="9" spans="1:19" x14ac:dyDescent="0.2">
      <c r="A9"/>
    </row>
    <row r="10" spans="1:19" x14ac:dyDescent="0.2">
      <c r="A10"/>
      <c r="B10" s="3" t="s">
        <v>131</v>
      </c>
      <c r="P10" s="3" t="s">
        <v>78</v>
      </c>
    </row>
    <row r="11" spans="1:19" x14ac:dyDescent="0.2">
      <c r="A11"/>
      <c r="B11" s="56"/>
      <c r="C11" s="4" t="str">
        <f>'Quarterly return 2010'!P11</f>
        <v>Q1 2010</v>
      </c>
      <c r="D11" s="4" t="str">
        <f>'Quarterly return 2010'!Q11</f>
        <v>Q2 2010</v>
      </c>
      <c r="E11" s="4" t="str">
        <f>'Quarterly return 2010'!R11</f>
        <v>Q3 2010</v>
      </c>
      <c r="F11" s="4" t="str">
        <f>'Quarterly return 2010'!S11</f>
        <v>Q4 2010</v>
      </c>
      <c r="G11" s="4" t="str">
        <f>'Quarterly return 2011'!P11</f>
        <v>Q1 2011</v>
      </c>
      <c r="H11" s="4" t="str">
        <f>'Quarterly return 2011'!Q11</f>
        <v>Q2 2011</v>
      </c>
      <c r="I11" s="4" t="str">
        <f>'Quarterly return 2011'!R11</f>
        <v>Q3 2011</v>
      </c>
      <c r="J11" s="4" t="str">
        <f>'Quarterly return 2011'!S11</f>
        <v>Q4 2011</v>
      </c>
      <c r="K11" s="4" t="str">
        <f>'Quarterly return 2012'!P11</f>
        <v>Q1 2012</v>
      </c>
      <c r="L11" s="4" t="str">
        <f>'Quarterly return 2012'!Q11</f>
        <v>Q2 2012</v>
      </c>
      <c r="M11" s="4" t="str">
        <f>'Quarterly return 2012'!R11</f>
        <v>Q3 2012</v>
      </c>
      <c r="N11" s="4" t="str">
        <f>'Quarterly return 2012'!S11</f>
        <v>Q4 2012</v>
      </c>
      <c r="P11" s="56"/>
      <c r="Q11" s="4">
        <v>2010</v>
      </c>
      <c r="R11" s="4">
        <v>2011</v>
      </c>
      <c r="S11" s="4">
        <v>2012</v>
      </c>
    </row>
    <row r="12" spans="1:19" s="29" customFormat="1" x14ac:dyDescent="0.2">
      <c r="B12" s="29" t="str">
        <f>'Quarterly return 2011'!O12</f>
        <v>Total return</v>
      </c>
      <c r="C12" s="61">
        <f>'Quarterly return 2010'!P12</f>
        <v>-6.1025223759153787E-3</v>
      </c>
      <c r="D12" s="61">
        <f>'Quarterly return 2010'!Q12</f>
        <v>9.4905355373624649E-3</v>
      </c>
      <c r="E12" s="61">
        <f>'Quarterly return 2010'!R12</f>
        <v>4.2553191489361703E-3</v>
      </c>
      <c r="F12" s="61">
        <f>'Quarterly return 2010'!S12</f>
        <v>2.4443165212770668E-2</v>
      </c>
      <c r="G12" s="61">
        <f>'Quarterly return 2011'!P12</f>
        <v>1.4760147601476014E-2</v>
      </c>
      <c r="H12" s="61">
        <f>'Quarterly return 2011'!Q12</f>
        <v>-7.3425585992657446E-3</v>
      </c>
      <c r="I12" s="61">
        <f>'Quarterly return 2011'!R12</f>
        <v>7.4578469520103765E-3</v>
      </c>
      <c r="J12" s="61">
        <f>'Quarterly return 2011'!S12</f>
        <v>1.3842392326499907E-2</v>
      </c>
      <c r="K12" s="61">
        <f>'Quarterly return 2012'!P12</f>
        <v>2.4248191853825655E-2</v>
      </c>
      <c r="L12" s="61">
        <f>'Quarterly return 2012'!Q12</f>
        <v>4.662055842207341E-2</v>
      </c>
      <c r="M12" s="61">
        <f>'Quarterly return 2012'!R12</f>
        <v>3.0769230769230769E-3</v>
      </c>
      <c r="N12" s="61">
        <f>'Quarterly return 2012'!S12</f>
        <v>6.226312939902545E-3</v>
      </c>
      <c r="P12" s="29" t="s">
        <v>89</v>
      </c>
      <c r="Q12" s="61">
        <f>D24</f>
        <v>3.1124770815999847E-2</v>
      </c>
      <c r="R12" s="61">
        <f>N24</f>
        <v>2.9159568709999917E-2</v>
      </c>
      <c r="S12" s="61">
        <f>V24</f>
        <v>8.1796450303999846E-2</v>
      </c>
    </row>
    <row r="13" spans="1:19" s="29" customFormat="1" x14ac:dyDescent="0.2">
      <c r="B13" s="29" t="str">
        <f>'Quarterly return 2011'!O13</f>
        <v>Capital growth</v>
      </c>
      <c r="C13" s="61">
        <f>'Quarterly return 2010'!P13</f>
        <v>-6.1025223759153787E-3</v>
      </c>
      <c r="D13" s="61">
        <f>'Quarterly return 2010'!Q13</f>
        <v>-1.898107107472493E-2</v>
      </c>
      <c r="E13" s="61">
        <f>'Quarterly return 2010'!R13</f>
        <v>4.2553191489361703E-3</v>
      </c>
      <c r="F13" s="61">
        <f>'Quarterly return 2010'!S13</f>
        <v>0</v>
      </c>
      <c r="G13" s="61">
        <f>'Quarterly return 2011'!P13</f>
        <v>1.4760147601476014E-2</v>
      </c>
      <c r="H13" s="61">
        <f>'Quarterly return 2011'!Q13</f>
        <v>-3.3041513696695848E-2</v>
      </c>
      <c r="I13" s="61">
        <f>'Quarterly return 2011'!R13</f>
        <v>7.4578469520103765E-3</v>
      </c>
      <c r="J13" s="61">
        <f>'Quarterly return 2011'!S13</f>
        <v>-1.0381794244874929E-2</v>
      </c>
      <c r="K13" s="61">
        <f>'Quarterly return 2012'!P13</f>
        <v>2.4248191853825655E-2</v>
      </c>
      <c r="L13" s="61">
        <f>'Quarterly return 2012'!Q13</f>
        <v>2.3310279211036705E-2</v>
      </c>
      <c r="M13" s="61">
        <f>'Quarterly return 2012'!R13</f>
        <v>3.0769230769230769E-3</v>
      </c>
      <c r="N13" s="61">
        <f>'Quarterly return 2012'!S13</f>
        <v>-1.8678938819707634E-2</v>
      </c>
      <c r="P13" s="29" t="s">
        <v>91</v>
      </c>
      <c r="Q13" s="61">
        <f>D35</f>
        <v>-2.0985544000000078E-2</v>
      </c>
      <c r="R13" s="61">
        <f>N35</f>
        <v>-2.1508220350000218E-2</v>
      </c>
      <c r="S13" s="61">
        <f>V35</f>
        <v>3.0731457535999818E-2</v>
      </c>
    </row>
    <row r="14" spans="1:19" s="29" customFormat="1" x14ac:dyDescent="0.2">
      <c r="B14" s="29" t="str">
        <f>'Quarterly return 2011'!O14</f>
        <v>Distributed income return</v>
      </c>
      <c r="C14" s="61">
        <f>'Quarterly return 2010'!P14</f>
        <v>0</v>
      </c>
      <c r="D14" s="61">
        <f>'Quarterly return 2010'!Q14</f>
        <v>2.8471606612087395E-2</v>
      </c>
      <c r="E14" s="61">
        <f>'Quarterly return 2010'!R14</f>
        <v>0</v>
      </c>
      <c r="F14" s="61">
        <f>'Quarterly return 2010'!S14</f>
        <v>2.4443165212770668E-2</v>
      </c>
      <c r="G14" s="61">
        <f>'Quarterly return 2011'!P14</f>
        <v>0</v>
      </c>
      <c r="H14" s="61">
        <f>'Quarterly return 2011'!Q14</f>
        <v>2.5698955097430108E-2</v>
      </c>
      <c r="I14" s="61">
        <f>'Quarterly return 2011'!R14</f>
        <v>0</v>
      </c>
      <c r="J14" s="61">
        <f>'Quarterly return 2011'!S14</f>
        <v>2.4224186571374838E-2</v>
      </c>
      <c r="K14" s="61">
        <f>'Quarterly return 2012'!P14</f>
        <v>0</v>
      </c>
      <c r="L14" s="61">
        <f>'Quarterly return 2012'!Q14</f>
        <v>2.3310279211036705E-2</v>
      </c>
      <c r="M14" s="61">
        <f>'Quarterly return 2012'!R14</f>
        <v>0</v>
      </c>
      <c r="N14" s="61">
        <f>'Quarterly return 2012'!S14</f>
        <v>2.490525175961018E-2</v>
      </c>
      <c r="P14" s="29" t="s">
        <v>95</v>
      </c>
      <c r="Q14" s="61">
        <f>D46</f>
        <v>5.2672000000000052E-2</v>
      </c>
      <c r="R14" s="61">
        <f>N46</f>
        <v>5.0624000000000002E-2</v>
      </c>
      <c r="S14" s="61">
        <f>V46</f>
        <v>4.8574999999999813E-2</v>
      </c>
    </row>
    <row r="15" spans="1:19" x14ac:dyDescent="0.2">
      <c r="B15" s="10"/>
    </row>
    <row r="16" spans="1:19" x14ac:dyDescent="0.2">
      <c r="B16" s="10"/>
    </row>
    <row r="17" spans="2:26" x14ac:dyDescent="0.2">
      <c r="B17" s="10"/>
    </row>
    <row r="18" spans="2:26" x14ac:dyDescent="0.2">
      <c r="B18" s="21" t="s">
        <v>115</v>
      </c>
      <c r="C18" s="22" t="s">
        <v>227</v>
      </c>
      <c r="D18" s="20"/>
      <c r="E18" s="20"/>
      <c r="F18" s="12"/>
      <c r="G18" s="12"/>
      <c r="H18" s="12"/>
      <c r="I18" s="12"/>
      <c r="J18" s="12"/>
      <c r="K18" s="22" t="s">
        <v>228</v>
      </c>
      <c r="L18" s="20"/>
      <c r="M18" s="20"/>
      <c r="N18" s="12"/>
      <c r="O18" s="12"/>
      <c r="P18" s="12"/>
      <c r="Q18" s="12"/>
      <c r="R18" s="12"/>
      <c r="S18" s="22" t="s">
        <v>229</v>
      </c>
      <c r="T18" s="20"/>
      <c r="U18" s="12"/>
      <c r="V18" s="12"/>
      <c r="W18" s="12"/>
      <c r="X18" s="12"/>
      <c r="Y18" s="12"/>
      <c r="Z18" s="12"/>
    </row>
    <row r="19" spans="2:26" x14ac:dyDescent="0.2">
      <c r="B19" s="19"/>
      <c r="C19" s="20"/>
      <c r="D19" s="20"/>
      <c r="E19" s="20"/>
      <c r="F19" s="12"/>
      <c r="G19" s="12"/>
      <c r="H19" s="12"/>
      <c r="I19" s="12"/>
      <c r="J19" s="12"/>
      <c r="K19" s="20"/>
      <c r="L19" s="20"/>
      <c r="M19" s="20"/>
      <c r="N19" s="12"/>
      <c r="O19" s="12"/>
      <c r="P19" s="12"/>
      <c r="Q19" s="12"/>
      <c r="R19" s="20"/>
      <c r="S19" s="20"/>
      <c r="T19" s="20"/>
      <c r="U19" s="12"/>
      <c r="V19" s="12"/>
      <c r="W19" s="12"/>
      <c r="X19" s="12"/>
      <c r="Y19" s="12"/>
      <c r="Z19" s="12"/>
    </row>
    <row r="20" spans="2:26" x14ac:dyDescent="0.2">
      <c r="B20" s="19" t="s">
        <v>230</v>
      </c>
      <c r="C20" s="20" t="s">
        <v>117</v>
      </c>
      <c r="D20" s="43" t="s">
        <v>231</v>
      </c>
      <c r="E20" s="33"/>
      <c r="F20" s="12"/>
      <c r="G20" s="12"/>
      <c r="H20" s="12"/>
      <c r="I20" s="12"/>
      <c r="J20" s="12"/>
      <c r="K20" s="12" t="s">
        <v>232</v>
      </c>
      <c r="L20" s="12"/>
      <c r="M20" s="20" t="s">
        <v>117</v>
      </c>
      <c r="N20" s="43" t="s">
        <v>231</v>
      </c>
      <c r="O20" s="33"/>
      <c r="P20" s="12"/>
      <c r="Q20" s="12"/>
      <c r="R20" s="12"/>
      <c r="S20" s="12" t="s">
        <v>233</v>
      </c>
      <c r="T20" s="12"/>
      <c r="U20" s="20" t="s">
        <v>117</v>
      </c>
      <c r="V20" s="43" t="s">
        <v>231</v>
      </c>
      <c r="W20" s="33"/>
      <c r="X20" s="12"/>
      <c r="Y20" s="12"/>
      <c r="Z20" s="12"/>
    </row>
    <row r="21" spans="2:26" x14ac:dyDescent="0.2">
      <c r="B21" s="19"/>
      <c r="C21" s="20"/>
      <c r="D21" s="12"/>
      <c r="E21" s="12"/>
      <c r="F21" s="12"/>
      <c r="G21" s="12"/>
      <c r="H21" s="12"/>
      <c r="I21" s="12"/>
      <c r="J21" s="12"/>
      <c r="K21" s="12"/>
      <c r="L21" s="12"/>
      <c r="M21" s="20"/>
      <c r="N21" s="12"/>
      <c r="O21" s="12"/>
      <c r="P21" s="12"/>
      <c r="Q21" s="12"/>
      <c r="R21" s="12"/>
      <c r="S21" s="12"/>
      <c r="T21" s="12"/>
      <c r="U21" s="20"/>
      <c r="V21" s="12"/>
      <c r="W21" s="12"/>
      <c r="X21" s="12"/>
      <c r="Y21" s="12"/>
      <c r="Z21" s="12"/>
    </row>
    <row r="22" spans="2:26" x14ac:dyDescent="0.2">
      <c r="B22" s="19"/>
      <c r="C22" s="20" t="s">
        <v>117</v>
      </c>
      <c r="D22" s="49" t="str">
        <f>_xlfn.CONCAT("(1 + ",ROUND($C$12,4),")"," * (1 + ",ROUND($D$12,4),")"," * (1 + ",ROUND($E$12,4),")"," * (1 + ",ROUND($F$12,4),") - 1")</f>
        <v>(1 + -0,0061) * (1 + 0,0095) * (1 + 0,0043) * (1 + 0,0244) - 1</v>
      </c>
      <c r="E22" s="12"/>
      <c r="F22" s="12"/>
      <c r="G22" s="12"/>
      <c r="H22" s="12"/>
      <c r="I22" s="12"/>
      <c r="J22" s="12"/>
      <c r="K22" s="12"/>
      <c r="L22" s="12"/>
      <c r="M22" s="20" t="s">
        <v>117</v>
      </c>
      <c r="N22" s="49" t="str">
        <f>_xlfn.CONCAT("(1 + ",ROUND($G$12,4),")"," * (1 + ",ROUND($H$12,4),")"," * (1 + ",ROUND($I$12,4),")"," * (1 + ",ROUND($J$12,4),") - 1")</f>
        <v>(1 + 0,0148) * (1 + -0,0073) * (1 + 0,0075) * (1 + 0,0138) - 1</v>
      </c>
      <c r="O22" s="12"/>
      <c r="P22" s="12"/>
      <c r="Q22" s="12"/>
      <c r="R22" s="12"/>
      <c r="S22" s="12"/>
      <c r="T22" s="12"/>
      <c r="U22" s="20" t="s">
        <v>117</v>
      </c>
      <c r="V22" s="49" t="str">
        <f>_xlfn.CONCAT("(1 + ",ROUND($K$12,4),")"," * (1 + ",ROUND($L$12,4),")"," * (1 + ",ROUND($M$12,4),")"," * (1 + ",ROUND($N$12,4),") - 1")</f>
        <v>(1 + 0,0242) * (1 + 0,0466) * (1 + 0,0031) * (1 + 0,0062) - 1</v>
      </c>
      <c r="W22" s="12"/>
      <c r="X22" s="12"/>
      <c r="Y22" s="12"/>
      <c r="Z22" s="12"/>
    </row>
    <row r="23" spans="2:26" x14ac:dyDescent="0.2">
      <c r="B23" s="19"/>
      <c r="C23" s="20"/>
      <c r="D23" s="20"/>
      <c r="E23" s="20"/>
      <c r="F23" s="12"/>
      <c r="G23" s="12"/>
      <c r="H23" s="12"/>
      <c r="I23" s="12"/>
      <c r="J23" s="12"/>
      <c r="K23" s="12"/>
      <c r="L23" s="12"/>
      <c r="M23" s="20"/>
      <c r="N23" s="20"/>
      <c r="O23" s="20"/>
      <c r="P23" s="12"/>
      <c r="Q23" s="12"/>
      <c r="R23" s="12"/>
      <c r="S23" s="12"/>
      <c r="T23" s="12"/>
      <c r="U23" s="20"/>
      <c r="V23" s="20"/>
      <c r="W23" s="20"/>
      <c r="X23" s="12"/>
      <c r="Y23" s="12"/>
      <c r="Z23" s="12"/>
    </row>
    <row r="24" spans="2:26" x14ac:dyDescent="0.2">
      <c r="B24" s="19"/>
      <c r="C24" s="20" t="s">
        <v>117</v>
      </c>
      <c r="D24" s="64">
        <f>(1 + ROUND($C$12,3)) * (1 + ROUND($D$12,3)) * (1 + ROUND($E$12,3)) * (1 + ROUND($F$12,3)) - 1</f>
        <v>3.1124770815999847E-2</v>
      </c>
      <c r="E24" s="20"/>
      <c r="F24" s="12"/>
      <c r="G24" s="12"/>
      <c r="H24" s="12"/>
      <c r="I24" s="12"/>
      <c r="J24" s="12"/>
      <c r="K24" s="12"/>
      <c r="L24" s="12"/>
      <c r="M24" s="20" t="s">
        <v>117</v>
      </c>
      <c r="N24" s="64">
        <f>(1 + ROUND($G$12,3)) * (1 + ROUND($H$12,3)) * (1 + ROUND($I$12,3)) * (1 + ROUND($J$12,3)) - 1</f>
        <v>2.9159568709999917E-2</v>
      </c>
      <c r="O24" s="20"/>
      <c r="P24" s="12"/>
      <c r="Q24" s="12"/>
      <c r="R24" s="12"/>
      <c r="S24" s="12"/>
      <c r="T24" s="12"/>
      <c r="U24" s="20" t="s">
        <v>117</v>
      </c>
      <c r="V24" s="64">
        <f>(1 + ROUND($K$12,3)) * (1 + ROUND($L$12,3)) * (1 + ROUND($M$12,3)) * (1 + ROUND($N$12,3)) - 1</f>
        <v>8.1796450303999846E-2</v>
      </c>
      <c r="W24" s="20"/>
      <c r="X24" s="12"/>
      <c r="Y24" s="12"/>
      <c r="Z24" s="12"/>
    </row>
    <row r="25" spans="2:26" x14ac:dyDescent="0.2">
      <c r="B25" s="26"/>
      <c r="C25" s="12"/>
      <c r="D25" s="25"/>
      <c r="E25" s="20"/>
      <c r="F25" s="12"/>
      <c r="G25" s="12"/>
      <c r="H25" s="12"/>
      <c r="I25" s="12"/>
      <c r="J25" s="12"/>
      <c r="K25" s="12"/>
      <c r="L25" s="12"/>
      <c r="M25" s="12"/>
      <c r="N25" s="25"/>
      <c r="O25" s="20"/>
      <c r="P25" s="12"/>
      <c r="Q25" s="12"/>
      <c r="R25" s="12"/>
      <c r="S25" s="12"/>
      <c r="T25" s="12"/>
      <c r="U25" s="12"/>
      <c r="V25" s="25"/>
      <c r="W25" s="20"/>
      <c r="X25" s="12"/>
      <c r="Y25" s="12"/>
      <c r="Z25" s="12"/>
    </row>
    <row r="26" spans="2:26" x14ac:dyDescent="0.2">
      <c r="B26" s="10"/>
    </row>
    <row r="27" spans="2:26" x14ac:dyDescent="0.2">
      <c r="B27" s="10"/>
    </row>
    <row r="28" spans="2:26" x14ac:dyDescent="0.2">
      <c r="B28" s="10"/>
    </row>
    <row r="29" spans="2:26" x14ac:dyDescent="0.2">
      <c r="B29" s="21" t="s">
        <v>115</v>
      </c>
      <c r="C29" s="22" t="s">
        <v>234</v>
      </c>
      <c r="D29" s="20"/>
      <c r="E29" s="20"/>
      <c r="F29" s="12"/>
      <c r="G29" s="12"/>
      <c r="H29" s="12"/>
      <c r="I29" s="12"/>
      <c r="J29" s="12"/>
      <c r="K29" s="22" t="s">
        <v>235</v>
      </c>
      <c r="L29" s="20"/>
      <c r="M29" s="20"/>
      <c r="N29" s="12"/>
      <c r="O29" s="12"/>
      <c r="P29" s="12"/>
      <c r="Q29" s="12"/>
      <c r="R29" s="12"/>
      <c r="S29" s="22" t="s">
        <v>236</v>
      </c>
      <c r="T29" s="20"/>
      <c r="U29" s="12"/>
      <c r="V29" s="12"/>
      <c r="W29" s="12"/>
      <c r="X29" s="12"/>
      <c r="Y29" s="12"/>
      <c r="Z29" s="12"/>
    </row>
    <row r="30" spans="2:26" x14ac:dyDescent="0.2">
      <c r="B30" s="19"/>
      <c r="C30" s="20"/>
      <c r="D30" s="20"/>
      <c r="E30" s="20"/>
      <c r="F30" s="12"/>
      <c r="G30" s="12"/>
      <c r="H30" s="12"/>
      <c r="I30" s="12"/>
      <c r="J30" s="12"/>
      <c r="K30" s="20"/>
      <c r="L30" s="20"/>
      <c r="M30" s="20"/>
      <c r="N30" s="12"/>
      <c r="O30" s="12"/>
      <c r="P30" s="12"/>
      <c r="Q30" s="12"/>
      <c r="R30" s="20"/>
      <c r="S30" s="20"/>
      <c r="T30" s="20"/>
      <c r="U30" s="12"/>
      <c r="V30" s="12"/>
      <c r="W30" s="12"/>
      <c r="X30" s="12"/>
      <c r="Y30" s="12"/>
      <c r="Z30" s="12"/>
    </row>
    <row r="31" spans="2:26" x14ac:dyDescent="0.2">
      <c r="B31" s="19" t="s">
        <v>237</v>
      </c>
      <c r="C31" s="20" t="s">
        <v>117</v>
      </c>
      <c r="D31" s="43" t="s">
        <v>238</v>
      </c>
      <c r="E31" s="33"/>
      <c r="F31" s="12"/>
      <c r="G31" s="12"/>
      <c r="H31" s="12"/>
      <c r="I31" s="12"/>
      <c r="J31" s="12"/>
      <c r="K31" s="19" t="s">
        <v>239</v>
      </c>
      <c r="L31" s="12"/>
      <c r="M31" s="20" t="s">
        <v>117</v>
      </c>
      <c r="N31" s="43" t="s">
        <v>238</v>
      </c>
      <c r="O31" s="33"/>
      <c r="P31" s="12"/>
      <c r="Q31" s="12"/>
      <c r="R31" s="12"/>
      <c r="S31" s="19" t="s">
        <v>240</v>
      </c>
      <c r="T31" s="12"/>
      <c r="U31" s="20" t="s">
        <v>117</v>
      </c>
      <c r="V31" s="43" t="s">
        <v>238</v>
      </c>
      <c r="W31" s="33"/>
      <c r="X31" s="12"/>
      <c r="Y31" s="12"/>
      <c r="Z31" s="12"/>
    </row>
    <row r="32" spans="2:26" x14ac:dyDescent="0.2">
      <c r="B32" s="19"/>
      <c r="C32" s="20"/>
      <c r="D32" s="12"/>
      <c r="E32" s="12"/>
      <c r="F32" s="12"/>
      <c r="G32" s="12"/>
      <c r="H32" s="12"/>
      <c r="I32" s="12"/>
      <c r="J32" s="12"/>
      <c r="K32" s="12"/>
      <c r="L32" s="12"/>
      <c r="M32" s="20"/>
      <c r="N32" s="12"/>
      <c r="O32" s="12"/>
      <c r="P32" s="12"/>
      <c r="Q32" s="12"/>
      <c r="R32" s="12"/>
      <c r="S32" s="12"/>
      <c r="T32" s="12"/>
      <c r="U32" s="20"/>
      <c r="V32" s="12"/>
      <c r="W32" s="12"/>
      <c r="X32" s="12"/>
      <c r="Y32" s="12"/>
      <c r="Z32" s="12"/>
    </row>
    <row r="33" spans="1:26" x14ac:dyDescent="0.2">
      <c r="B33" s="19"/>
      <c r="C33" s="20" t="s">
        <v>117</v>
      </c>
      <c r="D33" s="49" t="str">
        <f>_xlfn.CONCAT("(1 + ",ROUND($C$13,4),")"," * (1 + ",ROUND($D$13,4),")"," * (1 + ",ROUND($E$13,4),")"," * (1 + ",ROUND($F$13,4),") - 1")</f>
        <v>(1 + -0,0061) * (1 + -0,019) * (1 + 0,0043) * (1 + 0) - 1</v>
      </c>
      <c r="E33" s="12"/>
      <c r="F33" s="12"/>
      <c r="G33" s="12"/>
      <c r="H33" s="12"/>
      <c r="I33" s="12"/>
      <c r="J33" s="12"/>
      <c r="K33" s="12"/>
      <c r="L33" s="12"/>
      <c r="M33" s="20" t="s">
        <v>117</v>
      </c>
      <c r="N33" s="49" t="str">
        <f>_xlfn.CONCAT("(1 + ",ROUND($G$13,4),")"," * (1 + ",ROUND($H$13,4),")"," * (1 + ",ROUND($I$13,4),")"," * (1 + ",ROUND($J$13,4),") - 1")</f>
        <v>(1 + 0,0148) * (1 + -0,033) * (1 + 0,0075) * (1 + -0,0104) - 1</v>
      </c>
      <c r="O33" s="12"/>
      <c r="P33" s="12"/>
      <c r="Q33" s="12"/>
      <c r="R33" s="12"/>
      <c r="S33" s="12"/>
      <c r="T33" s="12"/>
      <c r="U33" s="20" t="s">
        <v>117</v>
      </c>
      <c r="V33" s="49" t="str">
        <f>_xlfn.CONCAT("(1 + ",ROUND($K$13,4),")"," * (1 + ",ROUND($L$13,4),")"," * (1 + ",ROUND($M$13,4),")"," * (1 + ",ROUND($N$13,4),") - 1")</f>
        <v>(1 + 0,0242) * (1 + 0,0233) * (1 + 0,0031) * (1 + -0,0187) - 1</v>
      </c>
      <c r="W33" s="12"/>
      <c r="X33" s="12"/>
      <c r="Y33" s="12"/>
      <c r="Z33" s="12"/>
    </row>
    <row r="34" spans="1:26" x14ac:dyDescent="0.2">
      <c r="B34" s="19"/>
      <c r="C34" s="20"/>
      <c r="D34" s="20"/>
      <c r="E34" s="20"/>
      <c r="F34" s="12"/>
      <c r="G34" s="12"/>
      <c r="H34" s="12"/>
      <c r="I34" s="12"/>
      <c r="J34" s="12"/>
      <c r="K34" s="12"/>
      <c r="L34" s="12"/>
      <c r="M34" s="20"/>
      <c r="N34" s="20"/>
      <c r="O34" s="20"/>
      <c r="P34" s="12"/>
      <c r="Q34" s="12"/>
      <c r="R34" s="12"/>
      <c r="S34" s="12"/>
      <c r="T34" s="12"/>
      <c r="U34" s="20"/>
      <c r="V34" s="20"/>
      <c r="W34" s="20"/>
      <c r="X34" s="12"/>
      <c r="Y34" s="12"/>
      <c r="Z34" s="12"/>
    </row>
    <row r="35" spans="1:26" x14ac:dyDescent="0.2">
      <c r="B35" s="19"/>
      <c r="C35" s="20" t="s">
        <v>117</v>
      </c>
      <c r="D35" s="64">
        <f>(1 + ROUND($C$13,3)) * (1 + ROUND($D$13,3)) * (1 + ROUND($E$13,3)) * (1 + ROUND($F$13,3)) - 1</f>
        <v>-2.0985544000000078E-2</v>
      </c>
      <c r="E35" s="20"/>
      <c r="F35" s="12"/>
      <c r="G35" s="12"/>
      <c r="H35" s="12"/>
      <c r="I35" s="12"/>
      <c r="J35" s="12"/>
      <c r="K35" s="12"/>
      <c r="L35" s="12"/>
      <c r="M35" s="20" t="s">
        <v>117</v>
      </c>
      <c r="N35" s="64">
        <f>(1 + ROUND($G$13,3)) * (1 + ROUND($H$13,3)) * (1 + ROUND($I$13,3)) * (1 + ROUND($J$13,3)) - 1</f>
        <v>-2.1508220350000218E-2</v>
      </c>
      <c r="O35" s="20"/>
      <c r="P35" s="12"/>
      <c r="Q35" s="12"/>
      <c r="R35" s="12"/>
      <c r="S35" s="12"/>
      <c r="T35" s="12"/>
      <c r="U35" s="20" t="s">
        <v>117</v>
      </c>
      <c r="V35" s="64">
        <f>(1 + ROUND($K$13,3)) * (1 + ROUND($L$13,3)) * (1 + ROUND($M$13,3)) * (1 + ROUND($N$13,3)) - 1</f>
        <v>3.0731457535999818E-2</v>
      </c>
      <c r="W35" s="20"/>
      <c r="X35" s="12"/>
      <c r="Y35" s="12"/>
      <c r="Z35" s="12"/>
    </row>
    <row r="36" spans="1:26" x14ac:dyDescent="0.2">
      <c r="B36" s="26"/>
      <c r="C36" s="12"/>
      <c r="D36" s="25"/>
      <c r="E36" s="20"/>
      <c r="F36" s="12"/>
      <c r="G36" s="12"/>
      <c r="H36" s="12"/>
      <c r="I36" s="12"/>
      <c r="J36" s="12"/>
      <c r="K36" s="12"/>
      <c r="L36" s="12"/>
      <c r="M36" s="12"/>
      <c r="N36" s="25"/>
      <c r="O36" s="20"/>
      <c r="P36" s="12"/>
      <c r="Q36" s="12"/>
      <c r="R36" s="12"/>
      <c r="S36" s="12"/>
      <c r="T36" s="12"/>
      <c r="U36" s="12"/>
      <c r="V36" s="25"/>
      <c r="W36" s="20"/>
      <c r="X36" s="12"/>
      <c r="Y36" s="12"/>
      <c r="Z36" s="12"/>
    </row>
    <row r="40" spans="1:26" s="55" customFormat="1" x14ac:dyDescent="0.2">
      <c r="A40" s="65"/>
      <c r="B40" s="21" t="s">
        <v>115</v>
      </c>
      <c r="C40" s="22" t="s">
        <v>241</v>
      </c>
      <c r="D40" s="66"/>
      <c r="E40" s="66"/>
      <c r="F40" s="67"/>
      <c r="G40" s="67"/>
      <c r="H40" s="67"/>
      <c r="I40" s="67"/>
      <c r="J40" s="67"/>
      <c r="K40" s="22" t="s">
        <v>242</v>
      </c>
      <c r="L40" s="66"/>
      <c r="M40" s="66"/>
      <c r="N40" s="67"/>
      <c r="O40" s="67"/>
      <c r="P40" s="67"/>
      <c r="Q40" s="67"/>
      <c r="R40" s="67"/>
      <c r="S40" s="22" t="s">
        <v>243</v>
      </c>
      <c r="T40" s="66"/>
      <c r="U40" s="67"/>
      <c r="V40" s="67"/>
      <c r="W40" s="67"/>
      <c r="X40" s="67"/>
      <c r="Y40" s="67"/>
      <c r="Z40" s="67"/>
    </row>
    <row r="41" spans="1:26" s="55" customFormat="1" x14ac:dyDescent="0.2">
      <c r="A41" s="65"/>
      <c r="B41" s="68"/>
      <c r="C41" s="66"/>
      <c r="D41" s="66"/>
      <c r="E41" s="66"/>
      <c r="F41" s="67"/>
      <c r="G41" s="67"/>
      <c r="H41" s="67"/>
      <c r="I41" s="67"/>
      <c r="J41" s="67"/>
      <c r="K41" s="66"/>
      <c r="L41" s="66"/>
      <c r="M41" s="66"/>
      <c r="N41" s="67"/>
      <c r="O41" s="67"/>
      <c r="P41" s="67"/>
      <c r="Q41" s="67"/>
      <c r="R41" s="66"/>
      <c r="S41" s="66"/>
      <c r="T41" s="66"/>
      <c r="U41" s="67"/>
      <c r="V41" s="67"/>
      <c r="W41" s="67"/>
      <c r="X41" s="67"/>
      <c r="Y41" s="67"/>
      <c r="Z41" s="67"/>
    </row>
    <row r="42" spans="1:26" s="11" customFormat="1" x14ac:dyDescent="0.2">
      <c r="A42" s="7"/>
      <c r="B42" s="71" t="s">
        <v>244</v>
      </c>
      <c r="C42" s="40" t="s">
        <v>117</v>
      </c>
      <c r="D42" s="43" t="s">
        <v>245</v>
      </c>
      <c r="E42" s="33"/>
      <c r="F42" s="43"/>
      <c r="G42" s="43"/>
      <c r="H42" s="43"/>
      <c r="I42" s="43"/>
      <c r="J42" s="43"/>
      <c r="K42" s="71" t="s">
        <v>246</v>
      </c>
      <c r="L42" s="43"/>
      <c r="M42" s="40" t="s">
        <v>117</v>
      </c>
      <c r="N42" s="43" t="s">
        <v>245</v>
      </c>
      <c r="O42" s="33"/>
      <c r="P42" s="43"/>
      <c r="Q42" s="43"/>
      <c r="R42" s="43"/>
      <c r="S42" s="71" t="s">
        <v>247</v>
      </c>
      <c r="T42" s="43"/>
      <c r="U42" s="40" t="s">
        <v>117</v>
      </c>
      <c r="V42" s="43" t="s">
        <v>245</v>
      </c>
      <c r="W42" s="33"/>
      <c r="X42" s="43"/>
      <c r="Y42" s="43"/>
      <c r="Z42" s="43"/>
    </row>
    <row r="43" spans="1:26" s="11" customFormat="1" x14ac:dyDescent="0.2">
      <c r="A43" s="7"/>
      <c r="B43" s="71"/>
      <c r="C43" s="40"/>
      <c r="D43" s="43"/>
      <c r="E43" s="43"/>
      <c r="F43" s="43"/>
      <c r="G43" s="43"/>
      <c r="H43" s="43"/>
      <c r="I43" s="43"/>
      <c r="J43" s="43"/>
      <c r="K43" s="43"/>
      <c r="L43" s="43"/>
      <c r="M43" s="40"/>
      <c r="N43" s="43"/>
      <c r="O43" s="43"/>
      <c r="P43" s="43"/>
      <c r="Q43" s="43"/>
      <c r="R43" s="43"/>
      <c r="S43" s="43"/>
      <c r="T43" s="43"/>
      <c r="U43" s="40"/>
      <c r="V43" s="43"/>
      <c r="W43" s="43"/>
      <c r="X43" s="43"/>
      <c r="Y43" s="43"/>
      <c r="Z43" s="43"/>
    </row>
    <row r="44" spans="1:26" s="11" customFormat="1" x14ac:dyDescent="0.2">
      <c r="A44" s="7"/>
      <c r="B44" s="71"/>
      <c r="C44" s="40" t="s">
        <v>117</v>
      </c>
      <c r="D44" s="49" t="str">
        <f>_xlfn.CONCAT("(1 + ",ROUND($C$14,4),")"," * (1 + ",ROUND($D$14,4),")"," * (1 + ",ROUND($E$14,4),")"," * (1 + ",ROUND($F$14,4),") - 1")</f>
        <v>(1 + 0) * (1 + 0,0285) * (1 + 0) * (1 + 0,0244) - 1</v>
      </c>
      <c r="E44" s="43"/>
      <c r="F44" s="43"/>
      <c r="G44" s="43"/>
      <c r="H44" s="43"/>
      <c r="I44" s="43"/>
      <c r="J44" s="43"/>
      <c r="K44" s="43"/>
      <c r="L44" s="43"/>
      <c r="M44" s="40" t="s">
        <v>117</v>
      </c>
      <c r="N44" s="49" t="str">
        <f>_xlfn.CONCAT("(1 + ",ROUND($G$14,4),")"," * (1 + ",ROUND($H$14,4),")"," * (1 + ",ROUND($I$14,4),")"," * (1 + ",ROUND($J$14,4),") - 1")</f>
        <v>(1 + 0) * (1 + 0,0257) * (1 + 0) * (1 + 0,0242) - 1</v>
      </c>
      <c r="O44" s="43"/>
      <c r="P44" s="43"/>
      <c r="Q44" s="43"/>
      <c r="R44" s="43"/>
      <c r="S44" s="43"/>
      <c r="T44" s="43"/>
      <c r="U44" s="40" t="s">
        <v>117</v>
      </c>
      <c r="V44" s="49" t="str">
        <f>_xlfn.CONCAT("(1 + ",ROUND($K$14,4),")"," * (1 + ",ROUND($L$14,4),")"," * (1 + ",ROUND($M$14,4),")"," * (1 + ",ROUND($N$14,4),") - 1")</f>
        <v>(1 + 0) * (1 + 0,0233) * (1 + 0) * (1 + 0,0249) - 1</v>
      </c>
      <c r="W44" s="43"/>
      <c r="X44" s="43"/>
      <c r="Y44" s="43"/>
      <c r="Z44" s="43"/>
    </row>
    <row r="45" spans="1:26" s="11" customFormat="1" x14ac:dyDescent="0.2">
      <c r="A45" s="7"/>
      <c r="B45" s="71"/>
      <c r="C45" s="40"/>
      <c r="D45" s="40"/>
      <c r="E45" s="40"/>
      <c r="F45" s="43"/>
      <c r="G45" s="43"/>
      <c r="H45" s="43"/>
      <c r="I45" s="43"/>
      <c r="J45" s="43"/>
      <c r="K45" s="43"/>
      <c r="L45" s="43"/>
      <c r="M45" s="40"/>
      <c r="N45" s="40"/>
      <c r="O45" s="40"/>
      <c r="P45" s="43"/>
      <c r="Q45" s="43"/>
      <c r="R45" s="43"/>
      <c r="S45" s="43"/>
      <c r="T45" s="43"/>
      <c r="U45" s="40"/>
      <c r="V45" s="40"/>
      <c r="W45" s="40"/>
      <c r="X45" s="43"/>
      <c r="Y45" s="43"/>
      <c r="Z45" s="43"/>
    </row>
    <row r="46" spans="1:26" s="11" customFormat="1" x14ac:dyDescent="0.2">
      <c r="A46" s="7"/>
      <c r="B46" s="71"/>
      <c r="C46" s="40" t="s">
        <v>117</v>
      </c>
      <c r="D46" s="72">
        <f>(1 + ROUND($C$14,3)) * (1 + ROUND($D$14,3)) * (1 + ROUND($E$14,3)) * (1 + ROUND($F$14,3)) - 1</f>
        <v>5.2672000000000052E-2</v>
      </c>
      <c r="E46" s="40"/>
      <c r="F46" s="43"/>
      <c r="G46" s="43"/>
      <c r="H46" s="43"/>
      <c r="I46" s="43"/>
      <c r="J46" s="43"/>
      <c r="K46" s="43"/>
      <c r="L46" s="43"/>
      <c r="M46" s="40" t="s">
        <v>117</v>
      </c>
      <c r="N46" s="72">
        <f>(1 + ROUND($G$14,3)) * (1 + ROUND($H$14,3)) * (1 + ROUND($I$14,3)) * (1 + ROUND($J$14,3)) - 1</f>
        <v>5.0624000000000002E-2</v>
      </c>
      <c r="O46" s="40"/>
      <c r="P46" s="43"/>
      <c r="Q46" s="43"/>
      <c r="R46" s="43"/>
      <c r="S46" s="43"/>
      <c r="T46" s="43"/>
      <c r="U46" s="40" t="s">
        <v>117</v>
      </c>
      <c r="V46" s="72">
        <f>(1 + ROUND($K$14,3)) * (1 + ROUND($L$14,3)) * (1 + ROUND($M$14,3)) * (1 + ROUND($N$14,3)) - 1</f>
        <v>4.8574999999999813E-2</v>
      </c>
      <c r="W46" s="40"/>
      <c r="X46" s="43"/>
      <c r="Y46" s="43"/>
      <c r="Z46" s="43"/>
    </row>
    <row r="47" spans="1:26" s="55" customFormat="1" x14ac:dyDescent="0.2">
      <c r="A47" s="65"/>
      <c r="B47" s="69"/>
      <c r="C47" s="67"/>
      <c r="D47" s="70"/>
      <c r="E47" s="66"/>
      <c r="F47" s="67"/>
      <c r="G47" s="67"/>
      <c r="H47" s="67"/>
      <c r="I47" s="67"/>
      <c r="J47" s="67"/>
      <c r="K47" s="67"/>
      <c r="L47" s="67"/>
      <c r="M47" s="67"/>
      <c r="N47" s="70"/>
      <c r="O47" s="66"/>
      <c r="P47" s="67"/>
      <c r="Q47" s="67"/>
      <c r="R47" s="67"/>
      <c r="S47" s="67"/>
      <c r="T47" s="67"/>
      <c r="U47" s="67"/>
      <c r="V47" s="70"/>
      <c r="W47" s="66"/>
      <c r="X47" s="67"/>
      <c r="Y47" s="67"/>
      <c r="Z47" s="67"/>
    </row>
  </sheetData>
  <mergeCells count="1">
    <mergeCell ref="M1:Q1"/>
  </mergeCells>
  <hyperlinks>
    <hyperlink ref="M1:Q1" location="'Table of Contents'!A1" display="Back to Table of Contents" xr:uid="{1415A5A7-B90D-4868-B49C-DA5DA4ACE446}"/>
  </hyperlink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FB36-0C3F-429F-BAF6-3F0E22F10BE5}">
  <sheetPr>
    <tabColor theme="5"/>
  </sheetPr>
  <dimension ref="A1:AA47"/>
  <sheetViews>
    <sheetView showGridLines="0" zoomScaleNormal="100" zoomScalePageLayoutView="85" workbookViewId="0">
      <pane ySplit="6" topLeftCell="A33" activePane="bottomLeft" state="frozen"/>
      <selection activeCell="B9" sqref="B9"/>
      <selection pane="bottomLeft" activeCell="D33" sqref="D33"/>
    </sheetView>
  </sheetViews>
  <sheetFormatPr defaultColWidth="8.7109375" defaultRowHeight="12.75" x14ac:dyDescent="0.2"/>
  <cols>
    <col min="1" max="1" width="7.28515625" style="7" customWidth="1"/>
    <col min="2" max="2" width="34.28515625" customWidth="1"/>
    <col min="3" max="10" width="8.7109375" customWidth="1"/>
    <col min="12" max="12" width="8.7109375" customWidth="1"/>
    <col min="14" max="14" width="8.7109375" customWidth="1"/>
    <col min="15" max="15" width="7.85546875" customWidth="1"/>
    <col min="16" max="16" width="21.28515625" customWidth="1"/>
    <col min="17" max="19" width="9.7109375" customWidth="1"/>
    <col min="22" max="22" width="15.42578125" customWidth="1"/>
    <col min="24" max="24" width="12" customWidth="1"/>
  </cols>
  <sheetData>
    <row r="1" spans="1:19" s="1" customFormat="1" ht="34.9" customHeight="1" x14ac:dyDescent="0.2">
      <c r="A1" s="6"/>
      <c r="B1" s="2" t="str">
        <f ca="1">MID(CELL("filename",A1),FIND("]",CELL("filename",A1))+ 1,255)&amp;" - calculation example"</f>
        <v>Three year annualised return - calculation example</v>
      </c>
      <c r="M1" s="181" t="s">
        <v>68</v>
      </c>
      <c r="N1" s="181"/>
      <c r="O1" s="181"/>
      <c r="P1" s="181"/>
      <c r="Q1" s="181"/>
    </row>
    <row r="3" spans="1:19" x14ac:dyDescent="0.2">
      <c r="A3"/>
    </row>
    <row r="4" spans="1:19" ht="13.15" customHeight="1" x14ac:dyDescent="0.2">
      <c r="A4"/>
      <c r="B4" s="12" t="s">
        <v>69</v>
      </c>
      <c r="C4" s="12" t="s">
        <v>70</v>
      </c>
      <c r="D4" s="12"/>
    </row>
    <row r="5" spans="1:19" x14ac:dyDescent="0.2">
      <c r="A5"/>
      <c r="B5" s="12" t="s">
        <v>72</v>
      </c>
      <c r="C5" s="12" t="s">
        <v>73</v>
      </c>
      <c r="D5" s="12"/>
    </row>
    <row r="6" spans="1:19" x14ac:dyDescent="0.2">
      <c r="A6"/>
      <c r="B6" s="12" t="s">
        <v>74</v>
      </c>
      <c r="C6" s="12" t="s">
        <v>75</v>
      </c>
      <c r="D6" s="12"/>
    </row>
    <row r="7" spans="1:19" x14ac:dyDescent="0.2">
      <c r="A7"/>
    </row>
    <row r="8" spans="1:19" x14ac:dyDescent="0.2">
      <c r="A8"/>
    </row>
    <row r="9" spans="1:19" x14ac:dyDescent="0.2">
      <c r="A9"/>
    </row>
    <row r="10" spans="1:19" x14ac:dyDescent="0.2">
      <c r="A10"/>
      <c r="B10" s="3" t="s">
        <v>131</v>
      </c>
      <c r="P10" s="3" t="s">
        <v>78</v>
      </c>
    </row>
    <row r="11" spans="1:19" x14ac:dyDescent="0.2">
      <c r="A11"/>
      <c r="B11" s="56"/>
      <c r="C11" s="4" t="str">
        <f>'Quarterly return 2010'!P11</f>
        <v>Q1 2010</v>
      </c>
      <c r="D11" s="4" t="str">
        <f>'Quarterly return 2010'!Q11</f>
        <v>Q2 2010</v>
      </c>
      <c r="E11" s="4" t="str">
        <f>'Quarterly return 2010'!R11</f>
        <v>Q3 2010</v>
      </c>
      <c r="F11" s="4" t="str">
        <f>'Quarterly return 2010'!S11</f>
        <v>Q4 2010</v>
      </c>
      <c r="G11" s="4" t="str">
        <f>'Quarterly return 2011'!P11</f>
        <v>Q1 2011</v>
      </c>
      <c r="H11" s="4" t="str">
        <f>'Quarterly return 2011'!Q11</f>
        <v>Q2 2011</v>
      </c>
      <c r="I11" s="4" t="str">
        <f>'Quarterly return 2011'!R11</f>
        <v>Q3 2011</v>
      </c>
      <c r="J11" s="4" t="str">
        <f>'Quarterly return 2011'!S11</f>
        <v>Q4 2011</v>
      </c>
      <c r="K11" s="4" t="str">
        <f>'Quarterly return 2012'!P11</f>
        <v>Q1 2012</v>
      </c>
      <c r="L11" s="4" t="str">
        <f>'Quarterly return 2012'!Q11</f>
        <v>Q2 2012</v>
      </c>
      <c r="M11" s="4" t="str">
        <f>'Quarterly return 2012'!R11</f>
        <v>Q3 2012</v>
      </c>
      <c r="N11" s="4" t="str">
        <f>'Quarterly return 2012'!S11</f>
        <v>Q4 2012</v>
      </c>
      <c r="P11" s="56"/>
      <c r="Q11" s="4" t="s">
        <v>248</v>
      </c>
      <c r="R11" s="4"/>
    </row>
    <row r="12" spans="1:19" s="29" customFormat="1" x14ac:dyDescent="0.2">
      <c r="B12" s="29" t="str">
        <f>'Quarterly return 2011'!O12</f>
        <v>Total return</v>
      </c>
      <c r="C12" s="61">
        <f>'Quarterly return 2010'!P12</f>
        <v>-6.1025223759153787E-3</v>
      </c>
      <c r="D12" s="61">
        <f>'Quarterly return 2010'!Q12</f>
        <v>9.4905355373624649E-3</v>
      </c>
      <c r="E12" s="61">
        <f>'Quarterly return 2010'!R12</f>
        <v>4.2553191489361703E-3</v>
      </c>
      <c r="F12" s="61">
        <f>'Quarterly return 2010'!S12</f>
        <v>2.4443165212770668E-2</v>
      </c>
      <c r="G12" s="61">
        <f>'Quarterly return 2011'!P12</f>
        <v>1.4760147601476014E-2</v>
      </c>
      <c r="H12" s="61">
        <f>'Quarterly return 2011'!Q12</f>
        <v>-7.3425585992657446E-3</v>
      </c>
      <c r="I12" s="61">
        <f>'Quarterly return 2011'!R12</f>
        <v>7.4578469520103765E-3</v>
      </c>
      <c r="J12" s="61">
        <f>'Quarterly return 2011'!S12</f>
        <v>1.3842392326499907E-2</v>
      </c>
      <c r="K12" s="61">
        <f>'Quarterly return 2012'!P12</f>
        <v>2.4248191853825655E-2</v>
      </c>
      <c r="L12" s="61">
        <f>'Quarterly return 2012'!Q12</f>
        <v>4.662055842207341E-2</v>
      </c>
      <c r="M12" s="61">
        <f>'Quarterly return 2012'!R12</f>
        <v>3.0769230769230769E-3</v>
      </c>
      <c r="N12" s="61">
        <f>'Quarterly return 2012'!S12</f>
        <v>6.226312939902545E-3</v>
      </c>
      <c r="P12" s="29" t="s">
        <v>89</v>
      </c>
      <c r="Q12" s="61">
        <f>D24</f>
        <v>4.7418211604164595E-2</v>
      </c>
      <c r="R12" s="61"/>
      <c r="S12" s="61"/>
    </row>
    <row r="13" spans="1:19" s="29" customFormat="1" x14ac:dyDescent="0.2">
      <c r="B13" s="29" t="str">
        <f>'Quarterly return 2011'!O13</f>
        <v>Capital growth</v>
      </c>
      <c r="C13" s="61">
        <f>'Quarterly return 2010'!P13</f>
        <v>-6.1025223759153787E-3</v>
      </c>
      <c r="D13" s="61">
        <f>'Quarterly return 2010'!Q13</f>
        <v>-1.898107107472493E-2</v>
      </c>
      <c r="E13" s="61">
        <f>'Quarterly return 2010'!R13</f>
        <v>4.2553191489361703E-3</v>
      </c>
      <c r="F13" s="61">
        <f>'Quarterly return 2010'!S13</f>
        <v>0</v>
      </c>
      <c r="G13" s="61">
        <f>'Quarterly return 2011'!P13</f>
        <v>1.4760147601476014E-2</v>
      </c>
      <c r="H13" s="61">
        <f>'Quarterly return 2011'!Q13</f>
        <v>-3.3041513696695848E-2</v>
      </c>
      <c r="I13" s="61">
        <f>'Quarterly return 2011'!R13</f>
        <v>7.4578469520103765E-3</v>
      </c>
      <c r="J13" s="61">
        <f>'Quarterly return 2011'!S13</f>
        <v>-1.0381794244874929E-2</v>
      </c>
      <c r="K13" s="61">
        <f>'Quarterly return 2012'!P13</f>
        <v>2.4248191853825655E-2</v>
      </c>
      <c r="L13" s="61">
        <f>'Quarterly return 2012'!Q13</f>
        <v>2.3310279211036705E-2</v>
      </c>
      <c r="M13" s="61">
        <f>'Quarterly return 2012'!R13</f>
        <v>3.0769230769230769E-3</v>
      </c>
      <c r="N13" s="61">
        <f>'Quarterly return 2012'!S13</f>
        <v>-1.8678938819707634E-2</v>
      </c>
      <c r="P13" s="29" t="s">
        <v>91</v>
      </c>
      <c r="Q13" s="61">
        <f>D35</f>
        <v>-3.9168273091666483E-3</v>
      </c>
      <c r="R13" s="61"/>
      <c r="S13" s="61"/>
    </row>
    <row r="14" spans="1:19" s="29" customFormat="1" x14ac:dyDescent="0.2">
      <c r="B14" s="29" t="str">
        <f>'Quarterly return 2011'!O14</f>
        <v>Distributed income return</v>
      </c>
      <c r="C14" s="61">
        <f>'Quarterly return 2010'!P14</f>
        <v>0</v>
      </c>
      <c r="D14" s="61">
        <f>'Quarterly return 2010'!Q14</f>
        <v>2.8471606612087395E-2</v>
      </c>
      <c r="E14" s="61">
        <f>'Quarterly return 2010'!R14</f>
        <v>0</v>
      </c>
      <c r="F14" s="61">
        <f>'Quarterly return 2010'!S14</f>
        <v>2.4443165212770668E-2</v>
      </c>
      <c r="G14" s="61">
        <f>'Quarterly return 2011'!P14</f>
        <v>0</v>
      </c>
      <c r="H14" s="61">
        <f>'Quarterly return 2011'!Q14</f>
        <v>2.5698955097430108E-2</v>
      </c>
      <c r="I14" s="61">
        <f>'Quarterly return 2011'!R14</f>
        <v>0</v>
      </c>
      <c r="J14" s="61">
        <f>'Quarterly return 2011'!S14</f>
        <v>2.4224186571374838E-2</v>
      </c>
      <c r="K14" s="61">
        <f>'Quarterly return 2012'!P14</f>
        <v>0</v>
      </c>
      <c r="L14" s="61">
        <f>'Quarterly return 2012'!Q14</f>
        <v>2.3310279211036705E-2</v>
      </c>
      <c r="M14" s="61">
        <f>'Quarterly return 2012'!R14</f>
        <v>0</v>
      </c>
      <c r="N14" s="61">
        <f>'Quarterly return 2012'!S14</f>
        <v>2.490525175961018E-2</v>
      </c>
      <c r="P14" s="29" t="s">
        <v>95</v>
      </c>
      <c r="Q14" s="61">
        <f>D46</f>
        <v>5.0982272113235805E-2</v>
      </c>
      <c r="R14" s="61"/>
      <c r="S14" s="61"/>
    </row>
    <row r="15" spans="1:19" x14ac:dyDescent="0.2">
      <c r="B15" s="10"/>
    </row>
    <row r="16" spans="1:19" x14ac:dyDescent="0.2">
      <c r="B16" s="10"/>
    </row>
    <row r="17" spans="2:21" x14ac:dyDescent="0.2">
      <c r="B17" s="10"/>
    </row>
    <row r="18" spans="2:21" x14ac:dyDescent="0.2">
      <c r="B18" s="21" t="s">
        <v>115</v>
      </c>
      <c r="C18" s="22" t="s">
        <v>249</v>
      </c>
      <c r="D18" s="20"/>
      <c r="E18" s="20"/>
      <c r="F18" s="12"/>
      <c r="G18" s="12"/>
      <c r="H18" s="12"/>
      <c r="I18" s="12"/>
      <c r="J18" s="12"/>
      <c r="K18" s="22"/>
      <c r="L18" s="20"/>
      <c r="M18" s="20"/>
      <c r="N18" s="12"/>
      <c r="O18" s="12"/>
      <c r="P18" s="12"/>
      <c r="Q18" s="12"/>
      <c r="R18" s="12"/>
      <c r="S18" s="12"/>
      <c r="T18" s="12"/>
      <c r="U18" s="12"/>
    </row>
    <row r="19" spans="2:21" x14ac:dyDescent="0.2">
      <c r="B19" s="19"/>
      <c r="C19" s="20"/>
      <c r="D19" s="20"/>
      <c r="E19" s="20"/>
      <c r="F19" s="12"/>
      <c r="G19" s="12"/>
      <c r="H19" s="12"/>
      <c r="I19" s="12"/>
      <c r="J19" s="12"/>
      <c r="K19" s="20"/>
      <c r="L19" s="20"/>
      <c r="M19" s="20"/>
      <c r="N19" s="12"/>
      <c r="O19" s="12"/>
      <c r="P19" s="12"/>
      <c r="Q19" s="12"/>
      <c r="R19" s="20"/>
      <c r="S19" s="12"/>
      <c r="T19" s="12"/>
      <c r="U19" s="12"/>
    </row>
    <row r="20" spans="2:21" x14ac:dyDescent="0.2">
      <c r="B20" s="19" t="s">
        <v>250</v>
      </c>
      <c r="C20" s="20" t="s">
        <v>117</v>
      </c>
      <c r="D20" s="43" t="s">
        <v>251</v>
      </c>
      <c r="E20" s="33"/>
      <c r="F20" s="12"/>
      <c r="G20" s="12"/>
      <c r="H20" s="12"/>
      <c r="I20" s="12"/>
      <c r="J20" s="12"/>
      <c r="K20" s="12"/>
      <c r="L20" s="12"/>
      <c r="M20" s="20"/>
      <c r="N20" s="43"/>
      <c r="O20" s="33"/>
      <c r="P20" s="12"/>
      <c r="Q20" s="12"/>
      <c r="R20" s="12"/>
      <c r="S20" s="12"/>
      <c r="T20" s="12"/>
      <c r="U20" s="12"/>
    </row>
    <row r="21" spans="2:21" x14ac:dyDescent="0.2">
      <c r="B21" s="19"/>
      <c r="C21" s="20"/>
      <c r="D21" s="12"/>
      <c r="E21" s="12"/>
      <c r="F21" s="12"/>
      <c r="G21" s="12"/>
      <c r="H21" s="12"/>
      <c r="I21" s="12"/>
      <c r="J21" s="12"/>
      <c r="K21" s="12"/>
      <c r="L21" s="12"/>
      <c r="M21" s="20"/>
      <c r="N21" s="12"/>
      <c r="O21" s="12"/>
      <c r="P21" s="12"/>
      <c r="Q21" s="12"/>
      <c r="R21" s="12"/>
      <c r="S21" s="12"/>
      <c r="T21" s="12"/>
      <c r="U21" s="12"/>
    </row>
    <row r="22" spans="2:21" x14ac:dyDescent="0.2">
      <c r="B22" s="19"/>
      <c r="C22" s="20" t="s">
        <v>117</v>
      </c>
      <c r="D22" s="49" t="str">
        <f>_xlfn.CONCAT("(((1 + ",ROUND($C$12,4),")"," * (1 + ",ROUND($D$12,4),")"," * (1 + ",ROUND($E$12,4),")"," * (1 + ",ROUND($F$12,4),")"," * (1 + ",ROUND($G$12,4),")"," * (1 + ",ROUND($H$12,4),")"," * (1 + ",ROUND($I$12,4),")"," * (1 + ",ROUND($J$12,4),")"," * (1 + ",ROUND($K$12,4),")"," * (1 + ",ROUND($L$12,4),")"," * (1 + ",ROUND($M$12,4),")"," * (1 + ",ROUND($N$12,4),")) ^(1/3)) -1")</f>
        <v>(((1 + -0,0061) * (1 + 0,0095) * (1 + 0,0043) * (1 + 0,0244) * (1 + 0,0148) * (1 + -0,0073) * (1 + 0,0075) * (1 + 0,0138) * (1 + 0,0242) * (1 + 0,0466) * (1 + 0,0031) * (1 + 0,0062)) ^(1/3)) -1</v>
      </c>
      <c r="E22" s="12"/>
      <c r="F22" s="12"/>
      <c r="G22" s="12"/>
      <c r="H22" s="12"/>
      <c r="I22" s="12"/>
      <c r="J22" s="12"/>
      <c r="K22" s="12"/>
      <c r="L22" s="12"/>
      <c r="M22" s="20"/>
      <c r="N22" s="49"/>
      <c r="O22" s="12"/>
      <c r="P22" s="12"/>
      <c r="Q22" s="12"/>
      <c r="R22" s="12"/>
      <c r="S22" s="12"/>
      <c r="T22" s="12"/>
      <c r="U22" s="12"/>
    </row>
    <row r="23" spans="2:21" x14ac:dyDescent="0.2">
      <c r="B23" s="19"/>
      <c r="C23" s="20"/>
      <c r="D23" s="20"/>
      <c r="E23" s="20"/>
      <c r="F23" s="12"/>
      <c r="G23" s="12"/>
      <c r="H23" s="12"/>
      <c r="I23" s="12"/>
      <c r="J23" s="12"/>
      <c r="K23" s="12"/>
      <c r="L23" s="12"/>
      <c r="M23" s="20"/>
      <c r="N23" s="20"/>
      <c r="O23" s="20"/>
      <c r="P23" s="12"/>
      <c r="Q23" s="12"/>
      <c r="R23" s="12"/>
      <c r="S23" s="12"/>
      <c r="T23" s="12"/>
      <c r="U23" s="12"/>
    </row>
    <row r="24" spans="2:21" x14ac:dyDescent="0.2">
      <c r="B24" s="19"/>
      <c r="C24" s="20" t="s">
        <v>117</v>
      </c>
      <c r="D24" s="64">
        <f>((((1 + $C$12) * (1 + $D$12) * (1 + $E$12) * (1 + $F$12) * (1 + $G$12) * (1 + $H$12) * (1 + $I$12) * (1 + $J$12) * (1 + $K$12) * (1 + $L$12) * (1 + $M$12) * (1 + $N$12)) ^(1/3)) -1)</f>
        <v>4.7418211604164595E-2</v>
      </c>
      <c r="E24" s="20"/>
      <c r="F24" s="12"/>
      <c r="G24" s="12"/>
      <c r="H24" s="12"/>
      <c r="I24" s="12"/>
      <c r="J24" s="12"/>
      <c r="K24" s="12"/>
      <c r="L24" s="12"/>
      <c r="M24" s="20"/>
      <c r="N24" s="64"/>
      <c r="O24" s="20"/>
      <c r="P24" s="12"/>
      <c r="Q24" s="12"/>
      <c r="R24" s="12"/>
      <c r="S24" s="12"/>
      <c r="T24" s="12"/>
      <c r="U24" s="12"/>
    </row>
    <row r="25" spans="2:21" x14ac:dyDescent="0.2">
      <c r="B25" s="26"/>
      <c r="C25" s="12"/>
      <c r="D25" s="25"/>
      <c r="E25" s="20"/>
      <c r="F25" s="12"/>
      <c r="G25" s="12"/>
      <c r="H25" s="12"/>
      <c r="I25" s="12"/>
      <c r="J25" s="12"/>
      <c r="K25" s="12"/>
      <c r="L25" s="12"/>
      <c r="M25" s="12"/>
      <c r="N25" s="25"/>
      <c r="O25" s="20"/>
      <c r="P25" s="12"/>
      <c r="Q25" s="12"/>
      <c r="R25" s="12"/>
      <c r="S25" s="12"/>
      <c r="T25" s="12"/>
      <c r="U25" s="12"/>
    </row>
    <row r="26" spans="2:21" x14ac:dyDescent="0.2">
      <c r="B26" s="10"/>
    </row>
    <row r="27" spans="2:21" x14ac:dyDescent="0.2">
      <c r="B27" s="10"/>
    </row>
    <row r="28" spans="2:21" x14ac:dyDescent="0.2">
      <c r="B28" s="10"/>
    </row>
    <row r="29" spans="2:21" x14ac:dyDescent="0.2">
      <c r="B29" s="21" t="s">
        <v>115</v>
      </c>
      <c r="C29" s="22" t="s">
        <v>252</v>
      </c>
      <c r="D29" s="20"/>
      <c r="E29" s="20"/>
      <c r="F29" s="12"/>
      <c r="G29" s="12"/>
      <c r="H29" s="12"/>
      <c r="I29" s="12"/>
      <c r="J29" s="12"/>
      <c r="K29" s="12"/>
      <c r="L29" s="12"/>
      <c r="M29" s="12"/>
      <c r="N29" s="12"/>
      <c r="O29" s="12"/>
      <c r="P29" s="12"/>
      <c r="Q29" s="12"/>
      <c r="R29" s="12"/>
      <c r="S29" s="12"/>
      <c r="T29" s="12"/>
      <c r="U29" s="12"/>
    </row>
    <row r="30" spans="2:21" x14ac:dyDescent="0.2">
      <c r="B30" s="19"/>
      <c r="C30" s="20"/>
      <c r="D30" s="20"/>
      <c r="E30" s="20"/>
      <c r="F30" s="12"/>
      <c r="G30" s="12"/>
      <c r="H30" s="12"/>
      <c r="I30" s="12"/>
      <c r="J30" s="12"/>
      <c r="K30" s="12"/>
      <c r="L30" s="12"/>
      <c r="M30" s="12"/>
      <c r="N30" s="12"/>
      <c r="O30" s="12"/>
      <c r="P30" s="12"/>
      <c r="Q30" s="12"/>
      <c r="R30" s="12"/>
      <c r="S30" s="12"/>
      <c r="T30" s="12"/>
      <c r="U30" s="12"/>
    </row>
    <row r="31" spans="2:21" x14ac:dyDescent="0.2">
      <c r="B31" s="19" t="s">
        <v>253</v>
      </c>
      <c r="C31" s="20" t="s">
        <v>117</v>
      </c>
      <c r="D31" s="43" t="s">
        <v>254</v>
      </c>
      <c r="E31" s="33"/>
      <c r="F31" s="12"/>
      <c r="G31" s="12"/>
      <c r="H31" s="12"/>
      <c r="I31" s="12"/>
      <c r="J31" s="12"/>
      <c r="K31" s="12"/>
      <c r="L31" s="12"/>
      <c r="M31" s="12"/>
      <c r="N31" s="12"/>
      <c r="O31" s="12"/>
      <c r="P31" s="12"/>
      <c r="Q31" s="12"/>
      <c r="R31" s="12"/>
      <c r="S31" s="12"/>
      <c r="T31" s="12"/>
      <c r="U31" s="12"/>
    </row>
    <row r="32" spans="2:21" x14ac:dyDescent="0.2">
      <c r="B32" s="19"/>
      <c r="C32" s="20"/>
      <c r="D32" s="12"/>
      <c r="E32" s="12"/>
      <c r="F32" s="12"/>
      <c r="G32" s="12"/>
      <c r="H32" s="12"/>
      <c r="I32" s="12"/>
      <c r="J32" s="12"/>
      <c r="K32" s="12"/>
      <c r="L32" s="12"/>
      <c r="M32" s="12"/>
      <c r="N32" s="12"/>
      <c r="O32" s="12"/>
      <c r="P32" s="12"/>
      <c r="Q32" s="12"/>
      <c r="R32" s="12"/>
      <c r="S32" s="12"/>
      <c r="T32" s="12"/>
      <c r="U32" s="12"/>
    </row>
    <row r="33" spans="1:27" x14ac:dyDescent="0.2">
      <c r="B33" s="19"/>
      <c r="C33" s="20" t="s">
        <v>117</v>
      </c>
      <c r="D33" s="49" t="str">
        <f>_xlfn.CONCAT("(((1 + ",ROUND($C$13,4),")"," * (1 + ",ROUND($D$13,4),")"," * (1 + ",ROUND($E$13,4),")"," * (1 + ",ROUND($F$13,4),")"," * (1 + ",ROUND($G$13,4),")"," * (1 + ",ROUND($H$13,4),")"," * (1 + ",ROUND($I$13,4),")"," * (1 + ",ROUND($J$13,4),")"," * (1 + ",ROUND($K$13,4),")"," * (1 + ",ROUND($L$13,4),")"," * (1 + ",ROUND($M$13,4),")"," * (1 + ",ROUND($N$13,4),")) ^(1/3)) -1")</f>
        <v>(((1 + -0,0061) * (1 + -0,019) * (1 + 0,0043) * (1 + 0) * (1 + 0,0148) * (1 + -0,033) * (1 + 0,0075) * (1 + -0,0104) * (1 + 0,0242) * (1 + 0,0233) * (1 + 0,0031) * (1 + -0,0187)) ^(1/3)) -1</v>
      </c>
      <c r="E33" s="12"/>
      <c r="F33" s="12"/>
      <c r="G33" s="12"/>
      <c r="H33" s="12"/>
      <c r="I33" s="12"/>
      <c r="J33" s="12"/>
      <c r="K33" s="12"/>
      <c r="L33" s="12"/>
      <c r="M33" s="12"/>
      <c r="N33" s="12"/>
      <c r="O33" s="12"/>
      <c r="P33" s="12"/>
      <c r="Q33" s="12"/>
      <c r="R33" s="12"/>
      <c r="S33" s="12"/>
      <c r="T33" s="12"/>
      <c r="U33" s="12"/>
    </row>
    <row r="34" spans="1:27" x14ac:dyDescent="0.2">
      <c r="B34" s="19"/>
      <c r="C34" s="20"/>
      <c r="D34" s="20"/>
      <c r="E34" s="20"/>
      <c r="F34" s="12"/>
      <c r="G34" s="12"/>
      <c r="H34" s="12"/>
      <c r="I34" s="12"/>
      <c r="J34" s="12"/>
      <c r="K34" s="12"/>
      <c r="L34" s="12"/>
      <c r="M34" s="12"/>
      <c r="N34" s="12"/>
      <c r="O34" s="12"/>
      <c r="P34" s="12"/>
      <c r="Q34" s="12"/>
      <c r="R34" s="12"/>
      <c r="S34" s="12"/>
      <c r="T34" s="12"/>
      <c r="U34" s="12"/>
    </row>
    <row r="35" spans="1:27" x14ac:dyDescent="0.2">
      <c r="B35" s="19"/>
      <c r="C35" s="20" t="s">
        <v>117</v>
      </c>
      <c r="D35" s="64">
        <f>((((1 + $C$13) * (1 + $D$13) * (1 + $E$13) * (1 + $F$13) * (1 + $G$13) * (1 + $H$13) * (1 + $I$13) * (1 + $J$13) * (1 + $K$13) * (1 + $L$13) * (1 + $M$13) * (1 + $N$13)) ^(1/3)) -1)</f>
        <v>-3.9168273091666483E-3</v>
      </c>
      <c r="E35" s="20"/>
      <c r="F35" s="12"/>
      <c r="G35" s="12"/>
      <c r="H35" s="12"/>
      <c r="I35" s="12"/>
      <c r="J35" s="12"/>
      <c r="K35" s="12"/>
      <c r="L35" s="12"/>
      <c r="M35" s="12"/>
      <c r="N35" s="12"/>
      <c r="O35" s="12"/>
      <c r="P35" s="12"/>
      <c r="Q35" s="12"/>
      <c r="R35" s="12"/>
      <c r="S35" s="12"/>
      <c r="T35" s="12"/>
      <c r="U35" s="12"/>
    </row>
    <row r="36" spans="1:27" x14ac:dyDescent="0.2">
      <c r="B36" s="26"/>
      <c r="C36" s="12"/>
      <c r="D36" s="25"/>
      <c r="E36" s="20"/>
      <c r="F36" s="12"/>
      <c r="G36" s="12"/>
      <c r="H36" s="12"/>
      <c r="I36" s="12"/>
      <c r="J36" s="12"/>
      <c r="K36" s="12"/>
      <c r="L36" s="12"/>
      <c r="M36" s="12"/>
      <c r="N36" s="12"/>
      <c r="O36" s="12"/>
      <c r="P36" s="12"/>
      <c r="Q36" s="12"/>
      <c r="R36" s="12"/>
      <c r="S36" s="12"/>
      <c r="T36" s="12"/>
      <c r="U36" s="12"/>
    </row>
    <row r="40" spans="1:27" s="55" customFormat="1" x14ac:dyDescent="0.2">
      <c r="A40" s="65"/>
      <c r="B40" s="21" t="s">
        <v>115</v>
      </c>
      <c r="C40" s="22" t="s">
        <v>255</v>
      </c>
      <c r="D40" s="20"/>
      <c r="E40" s="20"/>
      <c r="F40" s="12"/>
      <c r="G40" s="12"/>
      <c r="H40" s="12"/>
      <c r="I40" s="12"/>
      <c r="J40" s="12"/>
      <c r="K40" s="12"/>
      <c r="L40" s="12"/>
      <c r="M40" s="12"/>
      <c r="N40" s="12"/>
      <c r="O40" s="12"/>
      <c r="P40" s="12"/>
      <c r="Q40" s="12"/>
      <c r="R40" s="12"/>
      <c r="S40" s="12"/>
      <c r="T40" s="12"/>
      <c r="U40" s="12"/>
      <c r="V40"/>
      <c r="W40"/>
      <c r="X40"/>
      <c r="Y40"/>
      <c r="Z40"/>
      <c r="AA40"/>
    </row>
    <row r="41" spans="1:27" s="55" customFormat="1" x14ac:dyDescent="0.2">
      <c r="A41" s="65"/>
      <c r="B41" s="68"/>
      <c r="C41" s="20"/>
      <c r="D41" s="20"/>
      <c r="E41" s="20"/>
      <c r="F41" s="12"/>
      <c r="G41" s="12"/>
      <c r="H41" s="12"/>
      <c r="I41" s="12"/>
      <c r="J41" s="12"/>
      <c r="K41" s="12"/>
      <c r="L41" s="12"/>
      <c r="M41" s="12"/>
      <c r="N41" s="12"/>
      <c r="O41" s="12"/>
      <c r="P41" s="12"/>
      <c r="Q41" s="12"/>
      <c r="R41" s="12"/>
      <c r="S41" s="12"/>
      <c r="T41" s="12"/>
      <c r="U41" s="12"/>
      <c r="V41"/>
      <c r="W41"/>
      <c r="X41"/>
      <c r="Y41"/>
      <c r="Z41"/>
      <c r="AA41"/>
    </row>
    <row r="42" spans="1:27" s="11" customFormat="1" x14ac:dyDescent="0.2">
      <c r="A42" s="7"/>
      <c r="B42" s="19" t="s">
        <v>256</v>
      </c>
      <c r="C42" s="20" t="s">
        <v>117</v>
      </c>
      <c r="D42" s="43" t="s">
        <v>257</v>
      </c>
      <c r="E42" s="33"/>
      <c r="F42" s="12"/>
      <c r="G42" s="12"/>
      <c r="H42" s="12"/>
      <c r="I42" s="12"/>
      <c r="J42" s="12"/>
      <c r="K42" s="12"/>
      <c r="L42" s="12"/>
      <c r="M42" s="12"/>
      <c r="N42" s="12"/>
      <c r="O42" s="12"/>
      <c r="P42" s="12"/>
      <c r="Q42" s="12"/>
      <c r="R42" s="12"/>
      <c r="S42" s="12"/>
      <c r="T42" s="12"/>
      <c r="U42" s="12"/>
      <c r="V42"/>
      <c r="W42"/>
      <c r="X42"/>
      <c r="Y42"/>
      <c r="Z42"/>
      <c r="AA42"/>
    </row>
    <row r="43" spans="1:27" s="11" customFormat="1" x14ac:dyDescent="0.2">
      <c r="A43" s="7"/>
      <c r="B43" s="71"/>
      <c r="C43" s="20"/>
      <c r="D43" s="12"/>
      <c r="E43" s="12"/>
      <c r="F43" s="12"/>
      <c r="G43" s="12"/>
      <c r="H43" s="12"/>
      <c r="I43" s="12"/>
      <c r="J43" s="12"/>
      <c r="K43" s="12"/>
      <c r="L43" s="12"/>
      <c r="M43" s="12"/>
      <c r="N43" s="12"/>
      <c r="O43" s="12"/>
      <c r="P43" s="12"/>
      <c r="Q43" s="12"/>
      <c r="R43" s="12"/>
      <c r="S43" s="12"/>
      <c r="T43" s="12"/>
      <c r="U43" s="12"/>
      <c r="V43"/>
      <c r="W43"/>
      <c r="X43"/>
      <c r="Y43"/>
      <c r="Z43"/>
      <c r="AA43"/>
    </row>
    <row r="44" spans="1:27" s="11" customFormat="1" x14ac:dyDescent="0.2">
      <c r="A44" s="7"/>
      <c r="B44" s="71"/>
      <c r="C44" s="20" t="s">
        <v>117</v>
      </c>
      <c r="D44" s="49" t="str">
        <f>_xlfn.CONCAT("(((1 + ",ROUND($C$14,4),")"," * (1 + ",ROUND($D$14,4),")"," * (1 + ",ROUND($E$14,4),")"," * (1 + ",ROUND($F$14,4),")"," * (1 + ",ROUND($G$14,4),")"," * (1 + ",ROUND($H$14,4),")"," * (1 + ",ROUND($I$14,4),")"," * (1 + ",ROUND($J$14,4),")"," * (1 + ",ROUND($K$14,4),")"," * (1 + ",ROUND($L$14,4),")"," * (1 + ",ROUND($M$14,4),")"," * (1 + ",ROUND($N$14,4),")) ^(1/3)) -1")</f>
        <v>(((1 + 0) * (1 + 0,0285) * (1 + 0) * (1 + 0,0244) * (1 + 0) * (1 + 0,0257) * (1 + 0) * (1 + 0,0242) * (1 + 0) * (1 + 0,0233) * (1 + 0) * (1 + 0,0249)) ^(1/3)) -1</v>
      </c>
      <c r="E44" s="12"/>
      <c r="F44" s="12"/>
      <c r="G44" s="12"/>
      <c r="H44" s="12"/>
      <c r="I44" s="12"/>
      <c r="J44" s="12"/>
      <c r="K44" s="12"/>
      <c r="L44" s="12"/>
      <c r="M44" s="12"/>
      <c r="N44" s="12"/>
      <c r="O44" s="12"/>
      <c r="P44" s="12"/>
      <c r="Q44" s="12"/>
      <c r="R44" s="12"/>
      <c r="S44" s="12"/>
      <c r="T44" s="12"/>
      <c r="U44" s="12"/>
      <c r="V44"/>
      <c r="W44"/>
      <c r="X44"/>
      <c r="Y44"/>
      <c r="Z44"/>
      <c r="AA44"/>
    </row>
    <row r="45" spans="1:27" s="11" customFormat="1" x14ac:dyDescent="0.2">
      <c r="A45" s="7"/>
      <c r="B45" s="71"/>
      <c r="C45" s="20"/>
      <c r="D45" s="20"/>
      <c r="E45" s="20"/>
      <c r="F45" s="12"/>
      <c r="G45" s="12"/>
      <c r="H45" s="12"/>
      <c r="I45" s="12"/>
      <c r="J45" s="12"/>
      <c r="K45" s="12"/>
      <c r="L45" s="12"/>
      <c r="M45" s="12"/>
      <c r="N45" s="12"/>
      <c r="O45" s="12"/>
      <c r="P45" s="12"/>
      <c r="Q45" s="12"/>
      <c r="R45" s="12"/>
      <c r="S45" s="12"/>
      <c r="T45" s="12"/>
      <c r="U45" s="12"/>
      <c r="V45"/>
      <c r="W45"/>
      <c r="X45"/>
      <c r="Y45"/>
      <c r="Z45"/>
      <c r="AA45"/>
    </row>
    <row r="46" spans="1:27" s="11" customFormat="1" x14ac:dyDescent="0.2">
      <c r="A46" s="7"/>
      <c r="B46" s="71"/>
      <c r="C46" s="20" t="s">
        <v>117</v>
      </c>
      <c r="D46" s="64">
        <f>((((1 + $C$14) * (1 + $D$14) * (1 + $E$14) * (1 + $F$14) * (1 + $G$14) * (1 + $H$14) * (1 + $I$14) * (1 + $J$14) * (1 + $K$14) * (1 + $L$14) * (1 + $M$14) * (1 + $N$14)) ^(1/3)) -1)</f>
        <v>5.0982272113235805E-2</v>
      </c>
      <c r="E46" s="20"/>
      <c r="F46" s="12"/>
      <c r="G46" s="12"/>
      <c r="H46" s="12"/>
      <c r="I46" s="12"/>
      <c r="J46" s="12"/>
      <c r="K46" s="12"/>
      <c r="L46" s="12"/>
      <c r="M46" s="12"/>
      <c r="N46" s="12"/>
      <c r="O46" s="12"/>
      <c r="P46" s="12"/>
      <c r="Q46" s="12"/>
      <c r="R46" s="12"/>
      <c r="S46" s="12"/>
      <c r="T46" s="12"/>
      <c r="U46" s="12"/>
      <c r="V46"/>
      <c r="W46"/>
      <c r="X46"/>
      <c r="Y46"/>
      <c r="Z46"/>
      <c r="AA46"/>
    </row>
    <row r="47" spans="1:27" s="55" customFormat="1" x14ac:dyDescent="0.2">
      <c r="A47" s="65"/>
      <c r="B47" s="69"/>
      <c r="C47" s="12"/>
      <c r="D47" s="25"/>
      <c r="E47" s="20"/>
      <c r="F47" s="12"/>
      <c r="G47" s="12"/>
      <c r="H47" s="12"/>
      <c r="I47" s="12"/>
      <c r="J47" s="12"/>
      <c r="K47" s="12"/>
      <c r="L47" s="12"/>
      <c r="M47" s="12"/>
      <c r="N47" s="12"/>
      <c r="O47" s="12"/>
      <c r="P47" s="12"/>
      <c r="Q47" s="12"/>
      <c r="R47" s="12"/>
      <c r="S47" s="12"/>
      <c r="T47" s="12"/>
      <c r="U47" s="12"/>
      <c r="V47"/>
      <c r="W47"/>
      <c r="X47"/>
      <c r="Y47"/>
      <c r="Z47"/>
      <c r="AA47"/>
    </row>
  </sheetData>
  <mergeCells count="1">
    <mergeCell ref="M1:Q1"/>
  </mergeCells>
  <hyperlinks>
    <hyperlink ref="M1:Q1" location="'Table of Contents'!A1" display="Back to Table of Contents" xr:uid="{8FD18C09-6472-4D5D-941E-ED1604B66E86}"/>
  </hyperlink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96623-9ED6-4D1B-8CEC-61E430F5B564}">
  <sheetPr>
    <tabColor theme="5"/>
  </sheetPr>
  <dimension ref="A1:AA47"/>
  <sheetViews>
    <sheetView showGridLines="0" zoomScaleNormal="100" zoomScalePageLayoutView="85" workbookViewId="0">
      <pane ySplit="6" topLeftCell="A7" activePane="bottomLeft" state="frozen"/>
      <selection activeCell="B9" sqref="B9"/>
      <selection pane="bottomLeft" activeCell="S12" sqref="S12"/>
    </sheetView>
  </sheetViews>
  <sheetFormatPr defaultColWidth="8.7109375" defaultRowHeight="12.75" x14ac:dyDescent="0.2"/>
  <cols>
    <col min="1" max="1" width="7.28515625" style="7" customWidth="1"/>
    <col min="2" max="2" width="34.28515625" customWidth="1"/>
    <col min="3" max="10" width="8.7109375" customWidth="1"/>
    <col min="12" max="12" width="8.7109375" customWidth="1"/>
    <col min="14" max="14" width="8.7109375" customWidth="1"/>
    <col min="15" max="15" width="7.85546875" customWidth="1"/>
    <col min="16" max="16" width="21.28515625" customWidth="1"/>
    <col min="17" max="19" width="9.7109375" customWidth="1"/>
    <col min="22" max="22" width="15.42578125" customWidth="1"/>
    <col min="24" max="24" width="12" customWidth="1"/>
  </cols>
  <sheetData>
    <row r="1" spans="1:19" s="1" customFormat="1" ht="34.9" customHeight="1" x14ac:dyDescent="0.2">
      <c r="A1" s="6"/>
      <c r="B1" s="2" t="str">
        <f ca="1">MID(CELL("filename",A1),FIND("]",CELL("filename",A1))+ 1,255)&amp;" - calculation example"</f>
        <v>Three year compounded return - calculation example</v>
      </c>
      <c r="M1" s="181" t="s">
        <v>68</v>
      </c>
      <c r="N1" s="181"/>
      <c r="O1" s="181"/>
      <c r="P1" s="181"/>
      <c r="Q1" s="181"/>
    </row>
    <row r="3" spans="1:19" x14ac:dyDescent="0.2">
      <c r="A3"/>
    </row>
    <row r="4" spans="1:19" ht="13.15" customHeight="1" x14ac:dyDescent="0.2">
      <c r="A4"/>
      <c r="B4" s="12" t="s">
        <v>69</v>
      </c>
      <c r="C4" s="12" t="s">
        <v>70</v>
      </c>
      <c r="D4" s="12"/>
    </row>
    <row r="5" spans="1:19" x14ac:dyDescent="0.2">
      <c r="A5"/>
      <c r="B5" s="12" t="s">
        <v>72</v>
      </c>
      <c r="C5" s="12" t="s">
        <v>73</v>
      </c>
      <c r="D5" s="12"/>
    </row>
    <row r="6" spans="1:19" x14ac:dyDescent="0.2">
      <c r="A6"/>
      <c r="B6" s="12" t="s">
        <v>74</v>
      </c>
      <c r="C6" s="12" t="s">
        <v>75</v>
      </c>
      <c r="D6" s="12"/>
    </row>
    <row r="7" spans="1:19" x14ac:dyDescent="0.2">
      <c r="A7"/>
    </row>
    <row r="8" spans="1:19" x14ac:dyDescent="0.2">
      <c r="A8"/>
    </row>
    <row r="9" spans="1:19" x14ac:dyDescent="0.2">
      <c r="A9"/>
    </row>
    <row r="10" spans="1:19" x14ac:dyDescent="0.2">
      <c r="A10"/>
      <c r="B10" s="3" t="s">
        <v>131</v>
      </c>
      <c r="P10" s="3" t="s">
        <v>78</v>
      </c>
    </row>
    <row r="11" spans="1:19" x14ac:dyDescent="0.2">
      <c r="A11"/>
      <c r="B11" s="56"/>
      <c r="C11" s="4" t="str">
        <f>'Quarterly return 2010'!P11</f>
        <v>Q1 2010</v>
      </c>
      <c r="D11" s="4" t="str">
        <f>'Quarterly return 2010'!Q11</f>
        <v>Q2 2010</v>
      </c>
      <c r="E11" s="4" t="str">
        <f>'Quarterly return 2010'!R11</f>
        <v>Q3 2010</v>
      </c>
      <c r="F11" s="4" t="str">
        <f>'Quarterly return 2010'!S11</f>
        <v>Q4 2010</v>
      </c>
      <c r="G11" s="4" t="str">
        <f>'Quarterly return 2011'!P11</f>
        <v>Q1 2011</v>
      </c>
      <c r="H11" s="4" t="str">
        <f>'Quarterly return 2011'!Q11</f>
        <v>Q2 2011</v>
      </c>
      <c r="I11" s="4" t="str">
        <f>'Quarterly return 2011'!R11</f>
        <v>Q3 2011</v>
      </c>
      <c r="J11" s="4" t="str">
        <f>'Quarterly return 2011'!S11</f>
        <v>Q4 2011</v>
      </c>
      <c r="K11" s="4" t="str">
        <f>'Quarterly return 2012'!P11</f>
        <v>Q1 2012</v>
      </c>
      <c r="L11" s="4" t="str">
        <f>'Quarterly return 2012'!Q11</f>
        <v>Q2 2012</v>
      </c>
      <c r="M11" s="4" t="str">
        <f>'Quarterly return 2012'!R11</f>
        <v>Q3 2012</v>
      </c>
      <c r="N11" s="4" t="str">
        <f>'Quarterly return 2012'!S11</f>
        <v>Q4 2012</v>
      </c>
      <c r="P11" s="56"/>
      <c r="Q11" s="4" t="s">
        <v>258</v>
      </c>
      <c r="R11" s="4"/>
    </row>
    <row r="12" spans="1:19" s="29" customFormat="1" x14ac:dyDescent="0.2">
      <c r="B12" s="29" t="str">
        <f>'Quarterly return 2011'!O12</f>
        <v>Total return</v>
      </c>
      <c r="C12" s="61">
        <f>'Quarterly return 2010'!P12</f>
        <v>-6.1025223759153787E-3</v>
      </c>
      <c r="D12" s="61">
        <f>'Quarterly return 2010'!Q12</f>
        <v>9.4905355373624649E-3</v>
      </c>
      <c r="E12" s="61">
        <f>'Quarterly return 2010'!R12</f>
        <v>4.2553191489361703E-3</v>
      </c>
      <c r="F12" s="61">
        <f>'Quarterly return 2010'!S12</f>
        <v>2.4443165212770668E-2</v>
      </c>
      <c r="G12" s="61">
        <f>'Quarterly return 2011'!P12</f>
        <v>1.4760147601476014E-2</v>
      </c>
      <c r="H12" s="61">
        <f>'Quarterly return 2011'!Q12</f>
        <v>-7.3425585992657446E-3</v>
      </c>
      <c r="I12" s="61">
        <f>'Quarterly return 2011'!R12</f>
        <v>7.4578469520103765E-3</v>
      </c>
      <c r="J12" s="61">
        <f>'Quarterly return 2011'!S12</f>
        <v>1.3842392326499907E-2</v>
      </c>
      <c r="K12" s="61">
        <f>'Quarterly return 2012'!P12</f>
        <v>2.4248191853825655E-2</v>
      </c>
      <c r="L12" s="61">
        <f>'Quarterly return 2012'!Q12</f>
        <v>4.662055842207341E-2</v>
      </c>
      <c r="M12" s="61">
        <f>'Quarterly return 2012'!R12</f>
        <v>3.0769230769230769E-3</v>
      </c>
      <c r="N12" s="61">
        <f>'Quarterly return 2012'!S12</f>
        <v>6.226312939902545E-3</v>
      </c>
      <c r="P12" s="29" t="s">
        <v>89</v>
      </c>
      <c r="Q12" s="61">
        <f>D24</f>
        <v>0.14910671441018586</v>
      </c>
      <c r="R12" s="61"/>
      <c r="S12" s="61"/>
    </row>
    <row r="13" spans="1:19" s="29" customFormat="1" x14ac:dyDescent="0.2">
      <c r="B13" s="29" t="str">
        <f>'Quarterly return 2011'!O13</f>
        <v>Capital growth</v>
      </c>
      <c r="C13" s="61">
        <f>'Quarterly return 2010'!P13</f>
        <v>-6.1025223759153787E-3</v>
      </c>
      <c r="D13" s="61">
        <f>'Quarterly return 2010'!Q13</f>
        <v>-1.898107107472493E-2</v>
      </c>
      <c r="E13" s="61">
        <f>'Quarterly return 2010'!R13</f>
        <v>4.2553191489361703E-3</v>
      </c>
      <c r="F13" s="61">
        <f>'Quarterly return 2010'!S13</f>
        <v>0</v>
      </c>
      <c r="G13" s="61">
        <f>'Quarterly return 2011'!P13</f>
        <v>1.4760147601476014E-2</v>
      </c>
      <c r="H13" s="61">
        <f>'Quarterly return 2011'!Q13</f>
        <v>-3.3041513696695848E-2</v>
      </c>
      <c r="I13" s="61">
        <f>'Quarterly return 2011'!R13</f>
        <v>7.4578469520103765E-3</v>
      </c>
      <c r="J13" s="61">
        <f>'Quarterly return 2011'!S13</f>
        <v>-1.0381794244874929E-2</v>
      </c>
      <c r="K13" s="61">
        <f>'Quarterly return 2012'!P13</f>
        <v>2.4248191853825655E-2</v>
      </c>
      <c r="L13" s="61">
        <f>'Quarterly return 2012'!Q13</f>
        <v>2.3310279211036705E-2</v>
      </c>
      <c r="M13" s="61">
        <f>'Quarterly return 2012'!R13</f>
        <v>3.0769230769230769E-3</v>
      </c>
      <c r="N13" s="61">
        <f>'Quarterly return 2012'!S13</f>
        <v>-1.8678938819707634E-2</v>
      </c>
      <c r="P13" s="29" t="s">
        <v>91</v>
      </c>
      <c r="Q13" s="61">
        <f>D35</f>
        <v>-1.1704517409138249E-2</v>
      </c>
      <c r="R13" s="61"/>
      <c r="S13" s="61"/>
    </row>
    <row r="14" spans="1:19" s="29" customFormat="1" x14ac:dyDescent="0.2">
      <c r="B14" s="29" t="str">
        <f>'Quarterly return 2011'!O14</f>
        <v>Distributed income return</v>
      </c>
      <c r="C14" s="61">
        <f>'Quarterly return 2010'!P14</f>
        <v>0</v>
      </c>
      <c r="D14" s="61">
        <f>'Quarterly return 2010'!Q14</f>
        <v>2.8471606612087395E-2</v>
      </c>
      <c r="E14" s="61">
        <f>'Quarterly return 2010'!R14</f>
        <v>0</v>
      </c>
      <c r="F14" s="61">
        <f>'Quarterly return 2010'!S14</f>
        <v>2.4443165212770668E-2</v>
      </c>
      <c r="G14" s="61">
        <f>'Quarterly return 2011'!P14</f>
        <v>0</v>
      </c>
      <c r="H14" s="61">
        <f>'Quarterly return 2011'!Q14</f>
        <v>2.5698955097430108E-2</v>
      </c>
      <c r="I14" s="61">
        <f>'Quarterly return 2011'!R14</f>
        <v>0</v>
      </c>
      <c r="J14" s="61">
        <f>'Quarterly return 2011'!S14</f>
        <v>2.4224186571374838E-2</v>
      </c>
      <c r="K14" s="61">
        <f>'Quarterly return 2012'!P14</f>
        <v>0</v>
      </c>
      <c r="L14" s="61">
        <f>'Quarterly return 2012'!Q14</f>
        <v>2.3310279211036705E-2</v>
      </c>
      <c r="M14" s="61">
        <f>'Quarterly return 2012'!R14</f>
        <v>0</v>
      </c>
      <c r="N14" s="61">
        <f>'Quarterly return 2012'!S14</f>
        <v>2.490525175961018E-2</v>
      </c>
      <c r="P14" s="29" t="s">
        <v>95</v>
      </c>
      <c r="Q14" s="61">
        <f>D46</f>
        <v>0.16087690526657017</v>
      </c>
      <c r="R14" s="61"/>
      <c r="S14" s="61"/>
    </row>
    <row r="15" spans="1:19" x14ac:dyDescent="0.2">
      <c r="B15" s="10"/>
    </row>
    <row r="16" spans="1:19" x14ac:dyDescent="0.2">
      <c r="B16" s="10"/>
    </row>
    <row r="17" spans="2:21" x14ac:dyDescent="0.2">
      <c r="B17" s="10"/>
    </row>
    <row r="18" spans="2:21" x14ac:dyDescent="0.2">
      <c r="B18" s="21" t="s">
        <v>115</v>
      </c>
      <c r="C18" s="22" t="s">
        <v>259</v>
      </c>
      <c r="D18" s="20"/>
      <c r="E18" s="20"/>
      <c r="F18" s="12"/>
      <c r="G18" s="12"/>
      <c r="H18" s="12"/>
      <c r="I18" s="12"/>
      <c r="J18" s="12"/>
      <c r="K18" s="22"/>
      <c r="L18" s="20"/>
      <c r="M18" s="20"/>
      <c r="N18" s="12"/>
      <c r="O18" s="12"/>
      <c r="P18" s="12"/>
      <c r="Q18" s="12"/>
      <c r="R18" s="12"/>
      <c r="S18" s="12"/>
      <c r="T18" s="12"/>
      <c r="U18" s="12"/>
    </row>
    <row r="19" spans="2:21" x14ac:dyDescent="0.2">
      <c r="B19" s="19"/>
      <c r="C19" s="20"/>
      <c r="D19" s="20"/>
      <c r="E19" s="20"/>
      <c r="F19" s="12"/>
      <c r="G19" s="12"/>
      <c r="H19" s="12"/>
      <c r="I19" s="12"/>
      <c r="J19" s="12"/>
      <c r="K19" s="20"/>
      <c r="L19" s="20"/>
      <c r="M19" s="20"/>
      <c r="N19" s="12"/>
      <c r="O19" s="12"/>
      <c r="P19" s="12"/>
      <c r="Q19" s="12"/>
      <c r="R19" s="20"/>
      <c r="S19" s="12"/>
      <c r="T19" s="12"/>
      <c r="U19" s="12"/>
    </row>
    <row r="20" spans="2:21" x14ac:dyDescent="0.2">
      <c r="B20" s="19" t="s">
        <v>260</v>
      </c>
      <c r="C20" s="20" t="s">
        <v>117</v>
      </c>
      <c r="D20" s="43" t="s">
        <v>261</v>
      </c>
      <c r="E20" s="33"/>
      <c r="F20" s="12"/>
      <c r="G20" s="12"/>
      <c r="H20" s="12"/>
      <c r="I20" s="12"/>
      <c r="J20" s="12"/>
      <c r="K20" s="12"/>
      <c r="L20" s="12"/>
      <c r="M20" s="20"/>
      <c r="N20" s="43"/>
      <c r="O20" s="33"/>
      <c r="P20" s="12"/>
      <c r="Q20" s="12"/>
      <c r="R20" s="12"/>
      <c r="S20" s="12"/>
      <c r="T20" s="12"/>
      <c r="U20" s="12"/>
    </row>
    <row r="21" spans="2:21" x14ac:dyDescent="0.2">
      <c r="B21" s="19"/>
      <c r="C21" s="20"/>
      <c r="D21" s="12"/>
      <c r="E21" s="12"/>
      <c r="F21" s="12"/>
      <c r="G21" s="12"/>
      <c r="H21" s="12"/>
      <c r="I21" s="12"/>
      <c r="J21" s="12"/>
      <c r="K21" s="12"/>
      <c r="L21" s="12"/>
      <c r="M21" s="20"/>
      <c r="N21" s="12"/>
      <c r="O21" s="12"/>
      <c r="P21" s="12"/>
      <c r="Q21" s="12"/>
      <c r="R21" s="12"/>
      <c r="S21" s="12"/>
      <c r="T21" s="12"/>
      <c r="U21" s="12"/>
    </row>
    <row r="22" spans="2:21" x14ac:dyDescent="0.2">
      <c r="B22" s="19"/>
      <c r="C22" s="20" t="s">
        <v>117</v>
      </c>
      <c r="D22" s="49" t="str">
        <f>_xlfn.CONCAT("((1 + ",ROUND($C$12,4),")"," * (1 + ",ROUND($D$12,4),")"," * (1 + ",ROUND($E$12,4),")"," * (1 + ",ROUND($F$12,4),")"," * (1 + ",ROUND($G$12,4),")"," * (1 + ",ROUND($H$12,4),")"," * (1 + ",ROUND($I$12,4),")"," * (1 + ",ROUND($J$12,4),")"," * (1 + ",ROUND($K$12,4),")"," * (1 + ",ROUND($L$12,4),")"," * (1 + ",ROUND($M$12,4),")"," * (1 + ",ROUND($N$12,4),")) - 1")</f>
        <v>((1 + -0,0061) * (1 + 0,0095) * (1 + 0,0043) * (1 + 0,0244) * (1 + 0,0148) * (1 + -0,0073) * (1 + 0,0075) * (1 + 0,0138) * (1 + 0,0242) * (1 + 0,0466) * (1 + 0,0031) * (1 + 0,0062)) - 1</v>
      </c>
      <c r="E22" s="12"/>
      <c r="F22" s="12"/>
      <c r="G22" s="12"/>
      <c r="H22" s="12"/>
      <c r="I22" s="12"/>
      <c r="J22" s="12"/>
      <c r="K22" s="12"/>
      <c r="L22" s="12"/>
      <c r="M22" s="20"/>
      <c r="N22" s="49"/>
      <c r="O22" s="12"/>
      <c r="P22" s="12"/>
      <c r="Q22" s="12"/>
      <c r="R22" s="12"/>
      <c r="S22" s="12"/>
      <c r="T22" s="12"/>
      <c r="U22" s="12"/>
    </row>
    <row r="23" spans="2:21" x14ac:dyDescent="0.2">
      <c r="B23" s="19"/>
      <c r="C23" s="20"/>
      <c r="D23" s="20"/>
      <c r="E23" s="20"/>
      <c r="F23" s="12"/>
      <c r="G23" s="12"/>
      <c r="H23" s="12"/>
      <c r="I23" s="12"/>
      <c r="J23" s="12"/>
      <c r="K23" s="12"/>
      <c r="L23" s="12"/>
      <c r="M23" s="20"/>
      <c r="N23" s="20"/>
      <c r="O23" s="20"/>
      <c r="P23" s="12"/>
      <c r="Q23" s="12"/>
      <c r="R23" s="12"/>
      <c r="S23" s="12"/>
      <c r="T23" s="12"/>
      <c r="U23" s="12"/>
    </row>
    <row r="24" spans="2:21" x14ac:dyDescent="0.2">
      <c r="B24" s="19"/>
      <c r="C24" s="20" t="s">
        <v>117</v>
      </c>
      <c r="D24" s="64">
        <f>((1 + $C$12) * (1 + $D$12) * (1 + $E$12) * (1 + $F$12) * (1 + $G$12) * (1 + $H$12) * (1 + $I$12) * (1 + $J$12) * (1 + $K$12) * (1 + $L$12) * (1 + $M$12) * (1 + $N$12)) -1</f>
        <v>0.14910671441018586</v>
      </c>
      <c r="E24" s="20"/>
      <c r="F24" s="12"/>
      <c r="G24" s="12"/>
      <c r="H24" s="12"/>
      <c r="I24" s="12"/>
      <c r="J24" s="12"/>
      <c r="K24" s="12"/>
      <c r="L24" s="12"/>
      <c r="M24" s="20"/>
      <c r="N24" s="64"/>
      <c r="O24" s="20"/>
      <c r="P24" s="12"/>
      <c r="Q24" s="12"/>
      <c r="R24" s="12"/>
      <c r="S24" s="12"/>
      <c r="T24" s="12"/>
      <c r="U24" s="12"/>
    </row>
    <row r="25" spans="2:21" x14ac:dyDescent="0.2">
      <c r="B25" s="26"/>
      <c r="C25" s="12"/>
      <c r="D25" s="25"/>
      <c r="E25" s="20"/>
      <c r="F25" s="12"/>
      <c r="G25" s="12"/>
      <c r="H25" s="12"/>
      <c r="I25" s="12"/>
      <c r="J25" s="12"/>
      <c r="K25" s="12"/>
      <c r="L25" s="12"/>
      <c r="M25" s="12"/>
      <c r="N25" s="25"/>
      <c r="O25" s="20"/>
      <c r="P25" s="12"/>
      <c r="Q25" s="12"/>
      <c r="R25" s="12"/>
      <c r="S25" s="12"/>
      <c r="T25" s="12"/>
      <c r="U25" s="12"/>
    </row>
    <row r="26" spans="2:21" x14ac:dyDescent="0.2">
      <c r="B26" s="10"/>
    </row>
    <row r="27" spans="2:21" x14ac:dyDescent="0.2">
      <c r="B27" s="10"/>
    </row>
    <row r="28" spans="2:21" x14ac:dyDescent="0.2">
      <c r="B28" s="10"/>
    </row>
    <row r="29" spans="2:21" x14ac:dyDescent="0.2">
      <c r="B29" s="21" t="s">
        <v>115</v>
      </c>
      <c r="C29" s="22" t="s">
        <v>262</v>
      </c>
      <c r="D29" s="20"/>
      <c r="E29" s="20"/>
      <c r="F29" s="12"/>
      <c r="G29" s="12"/>
      <c r="H29" s="12"/>
      <c r="I29" s="12"/>
      <c r="J29" s="12"/>
      <c r="K29" s="12"/>
      <c r="L29" s="12"/>
      <c r="M29" s="12"/>
      <c r="N29" s="12"/>
      <c r="O29" s="12"/>
      <c r="P29" s="12"/>
      <c r="Q29" s="12"/>
      <c r="R29" s="12"/>
      <c r="S29" s="12"/>
      <c r="T29" s="12"/>
      <c r="U29" s="12"/>
    </row>
    <row r="30" spans="2:21" x14ac:dyDescent="0.2">
      <c r="B30" s="19"/>
      <c r="C30" s="20"/>
      <c r="D30" s="20"/>
      <c r="E30" s="20"/>
      <c r="F30" s="12"/>
      <c r="G30" s="12"/>
      <c r="H30" s="12"/>
      <c r="I30" s="12"/>
      <c r="J30" s="12"/>
      <c r="K30" s="12"/>
      <c r="L30" s="12"/>
      <c r="M30" s="12"/>
      <c r="N30" s="12"/>
      <c r="O30" s="12"/>
      <c r="P30" s="12"/>
      <c r="Q30" s="12"/>
      <c r="R30" s="12"/>
      <c r="S30" s="12"/>
      <c r="T30" s="12"/>
      <c r="U30" s="12"/>
    </row>
    <row r="31" spans="2:21" x14ac:dyDescent="0.2">
      <c r="B31" s="19" t="s">
        <v>263</v>
      </c>
      <c r="C31" s="20" t="s">
        <v>117</v>
      </c>
      <c r="D31" s="43" t="s">
        <v>264</v>
      </c>
      <c r="E31" s="33"/>
      <c r="F31" s="12"/>
      <c r="G31" s="12"/>
      <c r="H31" s="12"/>
      <c r="I31" s="12"/>
      <c r="J31" s="12"/>
      <c r="K31" s="12"/>
      <c r="L31" s="12"/>
      <c r="M31" s="12"/>
      <c r="N31" s="12"/>
      <c r="O31" s="12"/>
      <c r="P31" s="12"/>
      <c r="Q31" s="12"/>
      <c r="R31" s="12"/>
      <c r="S31" s="12"/>
      <c r="T31" s="12"/>
      <c r="U31" s="12"/>
    </row>
    <row r="32" spans="2:21" x14ac:dyDescent="0.2">
      <c r="B32" s="19"/>
      <c r="C32" s="20"/>
      <c r="D32" s="12"/>
      <c r="E32" s="12"/>
      <c r="F32" s="12"/>
      <c r="G32" s="12"/>
      <c r="H32" s="12"/>
      <c r="I32" s="12"/>
      <c r="J32" s="12"/>
      <c r="K32" s="12"/>
      <c r="L32" s="12"/>
      <c r="M32" s="12"/>
      <c r="N32" s="12"/>
      <c r="O32" s="12"/>
      <c r="P32" s="12"/>
      <c r="Q32" s="12"/>
      <c r="R32" s="12"/>
      <c r="S32" s="12"/>
      <c r="T32" s="12"/>
      <c r="U32" s="12"/>
    </row>
    <row r="33" spans="1:27" x14ac:dyDescent="0.2">
      <c r="B33" s="19"/>
      <c r="C33" s="20" t="s">
        <v>117</v>
      </c>
      <c r="D33" s="49" t="str">
        <f>_xlfn.CONCAT("((1 + ",ROUND($C$13,4),")"," * (1 + ",ROUND($D$13,4),")"," * (1 + ",ROUND($E$13,4),")"," * (1 + ",ROUND($F$13,4),")"," * (1 + ",ROUND($G$13,4),")"," * (1 + ",ROUND($H$13,4),")"," * (1 + ",ROUND($I$13,4),")"," * (1 + ",ROUND($J$13,4),")"," * (1 + ",ROUND($K$13,4),")"," * (1 + ",ROUND($L$13,4),")"," * (1 + ",ROUND($M$13,4),")"," * (1 + ",ROUND($N$13,4),")) - 1")</f>
        <v>((1 + -0,0061) * (1 + -0,019) * (1 + 0,0043) * (1 + 0) * (1 + 0,0148) * (1 + -0,033) * (1 + 0,0075) * (1 + -0,0104) * (1 + 0,0242) * (1 + 0,0233) * (1 + 0,0031) * (1 + -0,0187)) - 1</v>
      </c>
      <c r="E33" s="12"/>
      <c r="F33" s="12"/>
      <c r="G33" s="12"/>
      <c r="H33" s="12"/>
      <c r="I33" s="12"/>
      <c r="J33" s="12"/>
      <c r="K33" s="12"/>
      <c r="L33" s="12"/>
      <c r="M33" s="12"/>
      <c r="N33" s="12"/>
      <c r="O33" s="12"/>
      <c r="P33" s="12"/>
      <c r="Q33" s="12"/>
      <c r="R33" s="12"/>
      <c r="S33" s="12"/>
      <c r="T33" s="12"/>
      <c r="U33" s="12"/>
    </row>
    <row r="34" spans="1:27" x14ac:dyDescent="0.2">
      <c r="B34" s="19"/>
      <c r="C34" s="20"/>
      <c r="D34" s="20"/>
      <c r="E34" s="20"/>
      <c r="F34" s="12"/>
      <c r="G34" s="12"/>
      <c r="H34" s="12"/>
      <c r="I34" s="12"/>
      <c r="J34" s="12"/>
      <c r="K34" s="12"/>
      <c r="L34" s="12"/>
      <c r="M34" s="12"/>
      <c r="N34" s="12"/>
      <c r="O34" s="12"/>
      <c r="P34" s="12"/>
      <c r="Q34" s="12"/>
      <c r="R34" s="12"/>
      <c r="S34" s="12"/>
      <c r="T34" s="12"/>
      <c r="U34" s="12"/>
    </row>
    <row r="35" spans="1:27" x14ac:dyDescent="0.2">
      <c r="B35" s="19"/>
      <c r="C35" s="20" t="s">
        <v>117</v>
      </c>
      <c r="D35" s="64">
        <f>((1 + $C$13) * (1 + $D$13) * (1 + $E$13) * (1 + $F$13) * (1 + $G$13) * (1 + $H$13) * (1 + $I$13) * (1 + $J$13) * (1 + $K$13) * (1 + $L$13) * (1 + $M$13) * (1 + $N$13)) -1</f>
        <v>-1.1704517409138249E-2</v>
      </c>
      <c r="E35" s="20"/>
      <c r="F35" s="12"/>
      <c r="G35" s="12"/>
      <c r="H35" s="12"/>
      <c r="I35" s="12"/>
      <c r="J35" s="12"/>
      <c r="K35" s="12"/>
      <c r="L35" s="12"/>
      <c r="M35" s="12"/>
      <c r="N35" s="12"/>
      <c r="O35" s="12"/>
      <c r="P35" s="12"/>
      <c r="Q35" s="12"/>
      <c r="R35" s="12"/>
      <c r="S35" s="12"/>
      <c r="T35" s="12"/>
      <c r="U35" s="12"/>
    </row>
    <row r="36" spans="1:27" x14ac:dyDescent="0.2">
      <c r="B36" s="26"/>
      <c r="C36" s="12"/>
      <c r="D36" s="25"/>
      <c r="E36" s="20"/>
      <c r="F36" s="12"/>
      <c r="G36" s="12"/>
      <c r="H36" s="12"/>
      <c r="I36" s="12"/>
      <c r="J36" s="12"/>
      <c r="K36" s="12"/>
      <c r="L36" s="12"/>
      <c r="M36" s="12"/>
      <c r="N36" s="12"/>
      <c r="O36" s="12"/>
      <c r="P36" s="12"/>
      <c r="Q36" s="12"/>
      <c r="R36" s="12"/>
      <c r="S36" s="12"/>
      <c r="T36" s="12"/>
      <c r="U36" s="12"/>
    </row>
    <row r="40" spans="1:27" s="55" customFormat="1" x14ac:dyDescent="0.2">
      <c r="A40" s="65"/>
      <c r="B40" s="21" t="s">
        <v>115</v>
      </c>
      <c r="C40" s="22" t="s">
        <v>265</v>
      </c>
      <c r="D40" s="20"/>
      <c r="E40" s="20"/>
      <c r="F40" s="12"/>
      <c r="G40" s="12"/>
      <c r="H40" s="12"/>
      <c r="I40" s="12"/>
      <c r="J40" s="12"/>
      <c r="K40" s="12"/>
      <c r="L40" s="12"/>
      <c r="M40" s="12"/>
      <c r="N40" s="12"/>
      <c r="O40" s="12"/>
      <c r="P40" s="12"/>
      <c r="Q40" s="12"/>
      <c r="R40" s="12"/>
      <c r="S40" s="12"/>
      <c r="T40" s="12"/>
      <c r="U40" s="12"/>
      <c r="V40"/>
      <c r="W40"/>
      <c r="X40"/>
      <c r="Y40"/>
      <c r="Z40"/>
      <c r="AA40"/>
    </row>
    <row r="41" spans="1:27" s="55" customFormat="1" x14ac:dyDescent="0.2">
      <c r="A41" s="65"/>
      <c r="B41" s="68"/>
      <c r="C41" s="20"/>
      <c r="D41" s="20"/>
      <c r="E41" s="20"/>
      <c r="F41" s="12"/>
      <c r="G41" s="12"/>
      <c r="H41" s="12"/>
      <c r="I41" s="12"/>
      <c r="J41" s="12"/>
      <c r="K41" s="12"/>
      <c r="L41" s="12"/>
      <c r="M41" s="12"/>
      <c r="N41" s="12"/>
      <c r="O41" s="12"/>
      <c r="P41" s="12"/>
      <c r="Q41" s="12"/>
      <c r="R41" s="12"/>
      <c r="S41" s="12"/>
      <c r="T41" s="12"/>
      <c r="U41" s="12"/>
      <c r="V41"/>
      <c r="W41"/>
      <c r="X41"/>
      <c r="Y41"/>
      <c r="Z41"/>
      <c r="AA41"/>
    </row>
    <row r="42" spans="1:27" s="11" customFormat="1" x14ac:dyDescent="0.2">
      <c r="A42" s="7"/>
      <c r="B42" s="19" t="s">
        <v>266</v>
      </c>
      <c r="C42" s="20" t="s">
        <v>117</v>
      </c>
      <c r="D42" s="43" t="s">
        <v>267</v>
      </c>
      <c r="E42" s="33"/>
      <c r="F42" s="12"/>
      <c r="G42" s="12"/>
      <c r="H42" s="12"/>
      <c r="I42" s="12"/>
      <c r="J42" s="12"/>
      <c r="K42" s="12"/>
      <c r="L42" s="12"/>
      <c r="M42" s="12"/>
      <c r="N42" s="12"/>
      <c r="O42" s="12"/>
      <c r="P42" s="12"/>
      <c r="Q42" s="12"/>
      <c r="R42" s="12"/>
      <c r="S42" s="12"/>
      <c r="T42" s="12"/>
      <c r="U42" s="12"/>
      <c r="V42"/>
      <c r="W42"/>
      <c r="X42"/>
      <c r="Y42"/>
      <c r="Z42"/>
      <c r="AA42"/>
    </row>
    <row r="43" spans="1:27" s="11" customFormat="1" x14ac:dyDescent="0.2">
      <c r="A43" s="7"/>
      <c r="B43" s="71"/>
      <c r="C43" s="20"/>
      <c r="D43" s="12"/>
      <c r="E43" s="12"/>
      <c r="F43" s="12"/>
      <c r="G43" s="12"/>
      <c r="H43" s="12"/>
      <c r="I43" s="12"/>
      <c r="J43" s="12"/>
      <c r="K43" s="12"/>
      <c r="L43" s="12"/>
      <c r="M43" s="12"/>
      <c r="N43" s="12"/>
      <c r="O43" s="12"/>
      <c r="P43" s="12"/>
      <c r="Q43" s="12"/>
      <c r="R43" s="12"/>
      <c r="S43" s="12"/>
      <c r="T43" s="12"/>
      <c r="U43" s="12"/>
      <c r="V43"/>
      <c r="W43"/>
      <c r="X43"/>
      <c r="Y43"/>
      <c r="Z43"/>
      <c r="AA43"/>
    </row>
    <row r="44" spans="1:27" s="11" customFormat="1" x14ac:dyDescent="0.2">
      <c r="A44" s="7"/>
      <c r="B44" s="71"/>
      <c r="C44" s="20" t="s">
        <v>117</v>
      </c>
      <c r="D44" s="49" t="str">
        <f>_xlfn.CONCAT("((1 + ",ROUND($C$14,4),")"," * (1 + ",ROUND($D$14,4),")"," * (1 + ",ROUND($E$14,4),")"," * (1 + ",ROUND($F$14,4),")"," * (1 + ",ROUND($G$14,4),")"," * (1 + ",ROUND($H$14,4),")"," * (1 + ",ROUND($I$14,4),")"," * (1 + ",ROUND($J$14,4),")"," * (1 + ",ROUND($K$14,4),")"," * (1 + ",ROUND($L$14,4),")"," * (1 + ",ROUND($M$14,4),")"," * (1 + ",ROUND($N$14,4),")) - 1")</f>
        <v>((1 + 0) * (1 + 0,0285) * (1 + 0) * (1 + 0,0244) * (1 + 0) * (1 + 0,0257) * (1 + 0) * (1 + 0,0242) * (1 + 0) * (1 + 0,0233) * (1 + 0) * (1 + 0,0249)) - 1</v>
      </c>
      <c r="E44" s="12"/>
      <c r="F44" s="12"/>
      <c r="G44" s="12"/>
      <c r="H44" s="12"/>
      <c r="I44" s="12"/>
      <c r="J44" s="12"/>
      <c r="K44" s="12"/>
      <c r="L44" s="12"/>
      <c r="M44" s="12"/>
      <c r="N44" s="12"/>
      <c r="O44" s="12"/>
      <c r="P44" s="12"/>
      <c r="Q44" s="12"/>
      <c r="R44" s="12"/>
      <c r="S44" s="12"/>
      <c r="T44" s="12"/>
      <c r="U44" s="12"/>
      <c r="V44"/>
      <c r="W44"/>
      <c r="X44"/>
      <c r="Y44"/>
      <c r="Z44"/>
      <c r="AA44"/>
    </row>
    <row r="45" spans="1:27" s="11" customFormat="1" x14ac:dyDescent="0.2">
      <c r="A45" s="7"/>
      <c r="B45" s="71"/>
      <c r="C45" s="20"/>
      <c r="D45" s="20"/>
      <c r="E45" s="20"/>
      <c r="F45" s="12"/>
      <c r="G45" s="12"/>
      <c r="H45" s="12"/>
      <c r="I45" s="12"/>
      <c r="J45" s="12"/>
      <c r="K45" s="12"/>
      <c r="L45" s="12"/>
      <c r="M45" s="12"/>
      <c r="N45" s="12"/>
      <c r="O45" s="12"/>
      <c r="P45" s="12"/>
      <c r="Q45" s="12"/>
      <c r="R45" s="12"/>
      <c r="S45" s="12"/>
      <c r="T45" s="12"/>
      <c r="U45" s="12"/>
      <c r="V45"/>
      <c r="W45"/>
      <c r="X45"/>
      <c r="Y45"/>
      <c r="Z45"/>
      <c r="AA45"/>
    </row>
    <row r="46" spans="1:27" s="11" customFormat="1" x14ac:dyDescent="0.2">
      <c r="A46" s="7"/>
      <c r="B46" s="71"/>
      <c r="C46" s="20" t="s">
        <v>117</v>
      </c>
      <c r="D46" s="64">
        <f>((1 + $C$14) * (1 + $D$14) * (1 + $E$14) * (1 + $F$14) * (1 + $G$14) * (1 + $H$14) * (1 + $I$14) * (1 + $J$14) * (1 + $K$14) * (1 + $L$14) * (1 + $M$14) * (1 + $N$14)) -1</f>
        <v>0.16087690526657017</v>
      </c>
      <c r="E46" s="20"/>
      <c r="F46" s="12"/>
      <c r="G46" s="12"/>
      <c r="H46" s="12"/>
      <c r="I46" s="12"/>
      <c r="J46" s="12"/>
      <c r="K46" s="12"/>
      <c r="L46" s="12"/>
      <c r="M46" s="12"/>
      <c r="N46" s="12"/>
      <c r="O46" s="12"/>
      <c r="P46" s="12"/>
      <c r="Q46" s="12"/>
      <c r="R46" s="12"/>
      <c r="S46" s="12"/>
      <c r="T46" s="12"/>
      <c r="U46" s="12"/>
      <c r="V46"/>
      <c r="W46"/>
      <c r="X46"/>
      <c r="Y46"/>
      <c r="Z46"/>
      <c r="AA46"/>
    </row>
    <row r="47" spans="1:27" s="55" customFormat="1" x14ac:dyDescent="0.2">
      <c r="A47" s="65"/>
      <c r="B47" s="69"/>
      <c r="C47" s="12"/>
      <c r="D47" s="25"/>
      <c r="E47" s="20"/>
      <c r="F47" s="12"/>
      <c r="G47" s="12"/>
      <c r="H47" s="12"/>
      <c r="I47" s="12"/>
      <c r="J47" s="12"/>
      <c r="K47" s="12"/>
      <c r="L47" s="12"/>
      <c r="M47" s="12"/>
      <c r="N47" s="12"/>
      <c r="O47" s="12"/>
      <c r="P47" s="12"/>
      <c r="Q47" s="12"/>
      <c r="R47" s="12"/>
      <c r="S47" s="12"/>
      <c r="T47" s="12"/>
      <c r="U47" s="12"/>
      <c r="V47"/>
      <c r="W47"/>
      <c r="X47"/>
      <c r="Y47"/>
      <c r="Z47"/>
      <c r="AA47"/>
    </row>
  </sheetData>
  <mergeCells count="1">
    <mergeCell ref="M1:Q1"/>
  </mergeCells>
  <hyperlinks>
    <hyperlink ref="M1:Q1" location="'Table of Contents'!A1" display="Back to Table of Contents" xr:uid="{01DC5946-722C-4EA5-A7A0-A3C1CA89E2C9}"/>
  </hyperlink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C7600-8B56-44F5-885F-138606304F94}">
  <sheetPr>
    <tabColor theme="6"/>
  </sheetPr>
  <dimension ref="A1:P87"/>
  <sheetViews>
    <sheetView showGridLines="0" zoomScaleNormal="100" zoomScalePageLayoutView="85" workbookViewId="0">
      <pane ySplit="6" topLeftCell="A7" activePane="bottomLeft" state="frozen"/>
      <selection activeCell="B9" sqref="B9"/>
      <selection pane="bottomLeft" activeCell="E3" sqref="D3:E6"/>
    </sheetView>
  </sheetViews>
  <sheetFormatPr defaultColWidth="8.7109375" defaultRowHeight="12.75" x14ac:dyDescent="0.2"/>
  <cols>
    <col min="1" max="1" width="7.28515625" style="7" customWidth="1"/>
    <col min="2" max="2" width="22.28515625" customWidth="1"/>
    <col min="3" max="3" width="17.7109375" customWidth="1"/>
    <col min="4" max="5" width="18.7109375" customWidth="1"/>
    <col min="6" max="6" width="10.28515625" customWidth="1"/>
    <col min="7" max="8" width="17.7109375" customWidth="1"/>
    <col min="9" max="9" width="18.28515625" customWidth="1"/>
    <col min="10" max="10" width="21.7109375" bestFit="1" customWidth="1"/>
    <col min="11" max="11" width="16" bestFit="1" customWidth="1"/>
    <col min="12" max="12" width="8.7109375" style="55" customWidth="1"/>
    <col min="14" max="14" width="17.28515625" bestFit="1" customWidth="1"/>
    <col min="15" max="15" width="16" bestFit="1" customWidth="1"/>
  </cols>
  <sheetData>
    <row r="1" spans="1:16" s="1" customFormat="1" ht="34.9" customHeight="1" x14ac:dyDescent="0.2">
      <c r="A1" s="6"/>
      <c r="B1" s="2" t="str">
        <f ca="1">MID(CELL("filename",A1),FIND("]",CELL("filename",A1))+ 1,255)&amp;" - calculation example"</f>
        <v>Country and sector allocation - calculation example</v>
      </c>
      <c r="J1" s="181" t="s">
        <v>68</v>
      </c>
      <c r="K1" s="181"/>
      <c r="L1" s="181"/>
      <c r="M1" s="181"/>
      <c r="N1" s="181"/>
    </row>
    <row r="3" spans="1:16" x14ac:dyDescent="0.2">
      <c r="A3"/>
    </row>
    <row r="4" spans="1:16" x14ac:dyDescent="0.2">
      <c r="A4"/>
      <c r="B4" s="12" t="s">
        <v>69</v>
      </c>
      <c r="C4" s="12" t="s">
        <v>70</v>
      </c>
      <c r="D4" s="12" t="s">
        <v>134</v>
      </c>
    </row>
    <row r="5" spans="1:16" x14ac:dyDescent="0.2">
      <c r="A5"/>
      <c r="B5" s="12" t="s">
        <v>72</v>
      </c>
      <c r="C5" s="12" t="s">
        <v>73</v>
      </c>
      <c r="D5" s="12" t="s">
        <v>73</v>
      </c>
    </row>
    <row r="6" spans="1:16" x14ac:dyDescent="0.2">
      <c r="A6"/>
      <c r="B6" s="12" t="s">
        <v>74</v>
      </c>
      <c r="C6" s="12" t="s">
        <v>75</v>
      </c>
      <c r="D6" s="12" t="s">
        <v>75</v>
      </c>
    </row>
    <row r="7" spans="1:16" x14ac:dyDescent="0.2">
      <c r="A7"/>
    </row>
    <row r="8" spans="1:16" x14ac:dyDescent="0.2">
      <c r="A8"/>
    </row>
    <row r="9" spans="1:16" x14ac:dyDescent="0.2">
      <c r="A9"/>
    </row>
    <row r="10" spans="1:16" x14ac:dyDescent="0.2">
      <c r="A10"/>
      <c r="B10" s="3" t="s">
        <v>135</v>
      </c>
      <c r="J10" s="3" t="s">
        <v>78</v>
      </c>
      <c r="K10" s="3"/>
      <c r="N10" s="3" t="s">
        <v>78</v>
      </c>
      <c r="O10" s="3"/>
      <c r="P10" s="55"/>
    </row>
    <row r="11" spans="1:16" x14ac:dyDescent="0.2">
      <c r="A11"/>
      <c r="B11" s="4" t="s">
        <v>79</v>
      </c>
      <c r="C11" s="4" t="s">
        <v>80</v>
      </c>
      <c r="D11" s="37" t="s">
        <v>268</v>
      </c>
      <c r="E11" s="37" t="s">
        <v>269</v>
      </c>
      <c r="F11" s="37" t="s">
        <v>270</v>
      </c>
      <c r="G11" s="4" t="s">
        <v>271</v>
      </c>
      <c r="H11" s="4" t="s">
        <v>272</v>
      </c>
      <c r="I11" s="38"/>
      <c r="J11" s="4"/>
      <c r="K11" s="4" t="s">
        <v>273</v>
      </c>
      <c r="L11" s="4" t="s">
        <v>270</v>
      </c>
      <c r="N11" s="4"/>
      <c r="O11" s="4" t="s">
        <v>273</v>
      </c>
      <c r="P11" s="4" t="s">
        <v>270</v>
      </c>
    </row>
    <row r="12" spans="1:16" s="29" customFormat="1" x14ac:dyDescent="0.2">
      <c r="B12" s="29">
        <v>2013</v>
      </c>
      <c r="C12" s="29">
        <v>2</v>
      </c>
      <c r="D12" s="75" t="s">
        <v>274</v>
      </c>
      <c r="E12" s="75" t="s">
        <v>275</v>
      </c>
      <c r="F12" s="75" t="s">
        <v>276</v>
      </c>
      <c r="G12" s="111">
        <v>524227000</v>
      </c>
      <c r="H12" s="111">
        <v>32502074</v>
      </c>
      <c r="J12" t="str">
        <f>B28</f>
        <v>Finland</v>
      </c>
      <c r="K12" s="112">
        <f>SUMIF($E$12:$E$22,J12,$H$12:$H$22)</f>
        <v>106942308</v>
      </c>
      <c r="L12" s="88">
        <f>K12/$K$17</f>
        <v>0.20399999999999999</v>
      </c>
      <c r="N12" t="str">
        <f>G28</f>
        <v>Office</v>
      </c>
      <c r="O12" s="112">
        <f>SUMIF($D$12:$D$22,N12,$H$12:$H$22)</f>
        <v>118475302</v>
      </c>
      <c r="P12" s="88">
        <f>O12/$K$17</f>
        <v>0.22600000000000001</v>
      </c>
    </row>
    <row r="13" spans="1:16" s="29" customFormat="1" x14ac:dyDescent="0.2">
      <c r="A13" s="36"/>
      <c r="B13" s="29">
        <v>2013</v>
      </c>
      <c r="C13" s="29">
        <v>2</v>
      </c>
      <c r="D13" s="75" t="s">
        <v>277</v>
      </c>
      <c r="E13" s="75" t="s">
        <v>275</v>
      </c>
      <c r="F13" s="75" t="s">
        <v>278</v>
      </c>
      <c r="G13" s="111">
        <v>524227000</v>
      </c>
      <c r="H13" s="111">
        <v>29880939</v>
      </c>
      <c r="J13" t="str">
        <f>B41</f>
        <v>France</v>
      </c>
      <c r="K13" s="112">
        <f t="shared" ref="K13:K16" si="0">SUMIF($E$12:$E$22,J13,$H$12:$H$22)</f>
        <v>150453149</v>
      </c>
      <c r="L13" s="88">
        <f t="shared" ref="L13:L16" si="1">K13/$K$17</f>
        <v>0.28699999999999998</v>
      </c>
      <c r="N13" t="str">
        <f>G41</f>
        <v>Retail</v>
      </c>
      <c r="O13" s="112">
        <f t="shared" ref="O13:O14" si="2">SUMIF($D$12:$D$22,N13,$H$12:$H$22)</f>
        <v>320302697</v>
      </c>
      <c r="P13" s="88">
        <f t="shared" ref="P13:P14" si="3">O13/$K$17</f>
        <v>0.61099999999999999</v>
      </c>
    </row>
    <row r="14" spans="1:16" s="29" customFormat="1" x14ac:dyDescent="0.2">
      <c r="A14" s="36"/>
      <c r="B14" s="29">
        <v>2013</v>
      </c>
      <c r="C14" s="29">
        <v>2</v>
      </c>
      <c r="D14" s="75" t="s">
        <v>279</v>
      </c>
      <c r="E14" s="75" t="s">
        <v>275</v>
      </c>
      <c r="F14" s="75" t="s">
        <v>280</v>
      </c>
      <c r="G14" s="111">
        <v>524227000</v>
      </c>
      <c r="H14" s="111">
        <v>44559295</v>
      </c>
      <c r="J14" t="str">
        <f>B54</f>
        <v>Belgium</v>
      </c>
      <c r="K14" s="112">
        <f t="shared" si="0"/>
        <v>58189197</v>
      </c>
      <c r="L14" s="88">
        <f t="shared" si="1"/>
        <v>0.111</v>
      </c>
      <c r="N14" t="str">
        <f>G54</f>
        <v>Industrial / Logistics</v>
      </c>
      <c r="O14" s="112">
        <f t="shared" si="2"/>
        <v>85449001</v>
      </c>
      <c r="P14" s="88">
        <f t="shared" si="3"/>
        <v>0.16300000000000001</v>
      </c>
    </row>
    <row r="15" spans="1:16" s="29" customFormat="1" ht="13.5" thickBot="1" x14ac:dyDescent="0.25">
      <c r="A15" s="36"/>
      <c r="B15" s="29">
        <v>2013</v>
      </c>
      <c r="C15" s="29">
        <v>2</v>
      </c>
      <c r="D15" s="75" t="s">
        <v>274</v>
      </c>
      <c r="E15" s="75" t="s">
        <v>281</v>
      </c>
      <c r="F15" s="75" t="s">
        <v>282</v>
      </c>
      <c r="G15" s="111">
        <v>524227000</v>
      </c>
      <c r="H15" s="111">
        <v>63955694</v>
      </c>
      <c r="J15" t="str">
        <f>B67</f>
        <v>Germany</v>
      </c>
      <c r="K15" s="112">
        <f t="shared" si="0"/>
        <v>81255185</v>
      </c>
      <c r="L15" s="88">
        <f t="shared" si="1"/>
        <v>0.155</v>
      </c>
      <c r="N15" s="87" t="s">
        <v>283</v>
      </c>
      <c r="O15" s="113">
        <f>SUM(O12:O14)</f>
        <v>524227000</v>
      </c>
      <c r="P15" s="89">
        <f>SUM(P12:P14)</f>
        <v>1</v>
      </c>
    </row>
    <row r="16" spans="1:16" s="29" customFormat="1" ht="13.5" thickTop="1" x14ac:dyDescent="0.2">
      <c r="A16" s="36"/>
      <c r="B16" s="29">
        <v>2013</v>
      </c>
      <c r="C16" s="29">
        <v>2</v>
      </c>
      <c r="D16" s="75" t="s">
        <v>277</v>
      </c>
      <c r="E16" s="75" t="s">
        <v>281</v>
      </c>
      <c r="F16" s="75" t="s">
        <v>284</v>
      </c>
      <c r="G16" s="111">
        <v>524227000</v>
      </c>
      <c r="H16" s="111">
        <v>81255185</v>
      </c>
      <c r="J16" t="str">
        <f>B80</f>
        <v>Netherlands</v>
      </c>
      <c r="K16" s="112">
        <f t="shared" si="0"/>
        <v>127387161</v>
      </c>
      <c r="L16" s="88">
        <f t="shared" si="1"/>
        <v>0.24299999999999999</v>
      </c>
    </row>
    <row r="17" spans="1:16" s="29" customFormat="1" ht="13.5" thickBot="1" x14ac:dyDescent="0.25">
      <c r="A17" s="36"/>
      <c r="B17" s="29">
        <v>2013</v>
      </c>
      <c r="C17" s="29">
        <v>2</v>
      </c>
      <c r="D17" s="75" t="s">
        <v>279</v>
      </c>
      <c r="E17" s="75" t="s">
        <v>281</v>
      </c>
      <c r="F17" s="75">
        <v>1</v>
      </c>
      <c r="G17" s="111">
        <v>524227000</v>
      </c>
      <c r="H17" s="111">
        <v>5242270</v>
      </c>
      <c r="J17" s="87" t="s">
        <v>283</v>
      </c>
      <c r="K17" s="113">
        <f>SUM(K12:K16)</f>
        <v>524227000</v>
      </c>
      <c r="L17" s="89">
        <f>SUM(L12:L16)</f>
        <v>1</v>
      </c>
    </row>
    <row r="18" spans="1:16" s="29" customFormat="1" ht="13.5" thickTop="1" x14ac:dyDescent="0.2">
      <c r="A18" s="36"/>
      <c r="B18" s="29">
        <v>2013</v>
      </c>
      <c r="C18" s="29">
        <v>2</v>
      </c>
      <c r="D18" s="75" t="s">
        <v>277</v>
      </c>
      <c r="E18" s="75" t="s">
        <v>285</v>
      </c>
      <c r="F18" s="75" t="s">
        <v>286</v>
      </c>
      <c r="G18" s="111">
        <v>524227000</v>
      </c>
      <c r="H18" s="111">
        <v>58189197</v>
      </c>
      <c r="J18"/>
      <c r="K18"/>
      <c r="L18"/>
    </row>
    <row r="19" spans="1:16" s="29" customFormat="1" x14ac:dyDescent="0.2">
      <c r="A19" s="36"/>
      <c r="B19" s="29">
        <v>2013</v>
      </c>
      <c r="C19" s="29">
        <v>2</v>
      </c>
      <c r="D19" s="75" t="s">
        <v>274</v>
      </c>
      <c r="E19" s="75" t="s">
        <v>287</v>
      </c>
      <c r="F19" s="75" t="s">
        <v>288</v>
      </c>
      <c r="G19" s="111">
        <v>524227000</v>
      </c>
      <c r="H19" s="111">
        <v>22017534</v>
      </c>
      <c r="J19"/>
      <c r="K19"/>
      <c r="L19"/>
    </row>
    <row r="20" spans="1:16" s="29" customFormat="1" x14ac:dyDescent="0.2">
      <c r="A20" s="36"/>
      <c r="B20" s="29">
        <v>2013</v>
      </c>
      <c r="C20" s="29">
        <v>2</v>
      </c>
      <c r="D20" s="75" t="s">
        <v>277</v>
      </c>
      <c r="E20" s="75" t="s">
        <v>287</v>
      </c>
      <c r="F20" s="75" t="s">
        <v>289</v>
      </c>
      <c r="G20" s="111">
        <v>524227000</v>
      </c>
      <c r="H20" s="111">
        <v>59237651</v>
      </c>
      <c r="J20"/>
      <c r="K20"/>
      <c r="L20"/>
    </row>
    <row r="21" spans="1:16" s="29" customFormat="1" x14ac:dyDescent="0.2">
      <c r="A21" s="36"/>
      <c r="B21" s="29">
        <v>2013</v>
      </c>
      <c r="C21" s="29">
        <v>2</v>
      </c>
      <c r="D21" s="75" t="s">
        <v>279</v>
      </c>
      <c r="E21" s="75" t="s">
        <v>290</v>
      </c>
      <c r="F21" s="75" t="s">
        <v>291</v>
      </c>
      <c r="G21" s="111">
        <v>524227000</v>
      </c>
      <c r="H21" s="111">
        <v>35647436</v>
      </c>
      <c r="J21"/>
      <c r="K21"/>
      <c r="L21"/>
    </row>
    <row r="22" spans="1:16" s="29" customFormat="1" x14ac:dyDescent="0.2">
      <c r="A22" s="36"/>
      <c r="B22" s="29">
        <v>2013</v>
      </c>
      <c r="C22" s="29">
        <v>2</v>
      </c>
      <c r="D22" s="75" t="s">
        <v>277</v>
      </c>
      <c r="E22" s="75" t="s">
        <v>290</v>
      </c>
      <c r="F22" s="75" t="s">
        <v>292</v>
      </c>
      <c r="G22" s="111">
        <v>524227000</v>
      </c>
      <c r="H22" s="111">
        <v>91739725</v>
      </c>
      <c r="J22"/>
      <c r="K22"/>
      <c r="L22"/>
      <c r="N22"/>
      <c r="O22"/>
      <c r="P22"/>
    </row>
    <row r="23" spans="1:16" s="29" customFormat="1" x14ac:dyDescent="0.2">
      <c r="A23" s="36"/>
      <c r="D23" s="30"/>
      <c r="L23" s="60"/>
      <c r="N23"/>
      <c r="O23"/>
      <c r="P23"/>
    </row>
    <row r="24" spans="1:16" x14ac:dyDescent="0.2">
      <c r="B24" s="10"/>
    </row>
    <row r="25" spans="1:16" x14ac:dyDescent="0.2">
      <c r="B25" s="10"/>
    </row>
    <row r="26" spans="1:16" x14ac:dyDescent="0.2">
      <c r="B26" s="21" t="s">
        <v>115</v>
      </c>
      <c r="C26" s="22" t="str">
        <f>_xlfn.CONCAT("Calculate the country allocation for ",B28)</f>
        <v>Calculate the country allocation for Finland</v>
      </c>
      <c r="D26" s="20"/>
      <c r="E26" s="20"/>
      <c r="G26" s="21" t="s">
        <v>115</v>
      </c>
      <c r="H26" s="22" t="str">
        <f>_xlfn.CONCAT("Calculate the sector allocation for ",G28)</f>
        <v>Calculate the sector allocation for Office</v>
      </c>
      <c r="I26" s="20"/>
      <c r="J26" s="20"/>
    </row>
    <row r="27" spans="1:16" x14ac:dyDescent="0.2">
      <c r="B27" s="12"/>
      <c r="C27" s="12"/>
      <c r="D27" s="12"/>
      <c r="E27" s="12"/>
      <c r="G27" s="12"/>
      <c r="H27" s="12"/>
      <c r="I27" s="12"/>
      <c r="J27" s="12"/>
    </row>
    <row r="28" spans="1:16" x14ac:dyDescent="0.2">
      <c r="B28" s="12" t="s">
        <v>275</v>
      </c>
      <c r="C28" s="12" t="s">
        <v>117</v>
      </c>
      <c r="D28" s="84" t="str">
        <f>_xlfn.CONCAT(B28," GAV")</f>
        <v>Finland GAV</v>
      </c>
      <c r="E28" s="12"/>
      <c r="G28" s="12" t="s">
        <v>274</v>
      </c>
      <c r="H28" s="12" t="s">
        <v>117</v>
      </c>
      <c r="I28" s="84" t="str">
        <f>_xlfn.CONCAT(G28," GAV")</f>
        <v>Office GAV</v>
      </c>
      <c r="J28" s="12"/>
    </row>
    <row r="29" spans="1:16" x14ac:dyDescent="0.2">
      <c r="B29" s="12" t="s">
        <v>293</v>
      </c>
      <c r="C29" s="12"/>
      <c r="D29" s="85" t="s">
        <v>283</v>
      </c>
      <c r="E29" s="12"/>
      <c r="G29" s="12" t="s">
        <v>294</v>
      </c>
      <c r="H29" s="12"/>
      <c r="I29" s="85" t="s">
        <v>283</v>
      </c>
      <c r="J29" s="12"/>
    </row>
    <row r="30" spans="1:16" x14ac:dyDescent="0.2">
      <c r="B30" s="12"/>
      <c r="C30" s="12"/>
      <c r="D30" s="12"/>
      <c r="E30" s="12"/>
      <c r="G30" s="12"/>
      <c r="H30" s="12"/>
      <c r="I30" s="12"/>
      <c r="J30" s="12"/>
    </row>
    <row r="31" spans="1:16" x14ac:dyDescent="0.2">
      <c r="B31" s="12"/>
      <c r="C31" s="12" t="s">
        <v>117</v>
      </c>
      <c r="D31" s="114">
        <f>SUMIF($E$12:$E$22,B28,$H$12:$H$22)</f>
        <v>106942308</v>
      </c>
      <c r="E31" s="102"/>
      <c r="F31" s="13"/>
      <c r="G31" s="102"/>
      <c r="H31" s="102" t="s">
        <v>117</v>
      </c>
      <c r="I31" s="114">
        <f>SUMIF($D$12:$D$22,G28,$H$12:$H$22)</f>
        <v>118475302</v>
      </c>
      <c r="J31" s="12"/>
    </row>
    <row r="32" spans="1:16" x14ac:dyDescent="0.2">
      <c r="B32" s="12"/>
      <c r="C32" s="12"/>
      <c r="D32" s="115">
        <f>$G$12</f>
        <v>524227000</v>
      </c>
      <c r="E32" s="102"/>
      <c r="F32" s="13"/>
      <c r="G32" s="102"/>
      <c r="H32" s="102"/>
      <c r="I32" s="115">
        <f>$G$12</f>
        <v>524227000</v>
      </c>
      <c r="J32" s="12"/>
    </row>
    <row r="33" spans="2:10" x14ac:dyDescent="0.2">
      <c r="B33" s="12"/>
      <c r="C33" s="12"/>
      <c r="D33" s="12"/>
      <c r="E33" s="12"/>
      <c r="G33" s="12"/>
      <c r="H33" s="12"/>
      <c r="I33" s="12"/>
      <c r="J33" s="12"/>
    </row>
    <row r="34" spans="2:10" x14ac:dyDescent="0.2">
      <c r="B34" s="12"/>
      <c r="C34" s="12" t="s">
        <v>117</v>
      </c>
      <c r="D34" s="86">
        <f>D31/D32</f>
        <v>0.20399999999999999</v>
      </c>
      <c r="E34" s="12"/>
      <c r="G34" s="12"/>
      <c r="H34" s="12" t="s">
        <v>117</v>
      </c>
      <c r="I34" s="86">
        <f>I31/I32</f>
        <v>0.22600000000000001</v>
      </c>
      <c r="J34" s="12"/>
    </row>
    <row r="35" spans="2:10" x14ac:dyDescent="0.2">
      <c r="B35" s="12"/>
      <c r="C35" s="12"/>
      <c r="D35" s="12"/>
      <c r="E35" s="12"/>
      <c r="G35" s="12"/>
      <c r="H35" s="12"/>
      <c r="I35" s="12"/>
      <c r="J35" s="12"/>
    </row>
    <row r="39" spans="2:10" x14ac:dyDescent="0.2">
      <c r="B39" s="21" t="s">
        <v>115</v>
      </c>
      <c r="C39" s="22" t="str">
        <f>_xlfn.CONCAT("Calculate the country allocation for ",B41)</f>
        <v>Calculate the country allocation for France</v>
      </c>
      <c r="D39" s="20"/>
      <c r="E39" s="20"/>
      <c r="G39" s="21" t="s">
        <v>115</v>
      </c>
      <c r="H39" s="22" t="str">
        <f>_xlfn.CONCAT("Calculate the sector allocation for ",G41)</f>
        <v>Calculate the sector allocation for Retail</v>
      </c>
      <c r="I39" s="20"/>
      <c r="J39" s="20"/>
    </row>
    <row r="40" spans="2:10" x14ac:dyDescent="0.2">
      <c r="B40" s="12"/>
      <c r="C40" s="12"/>
      <c r="D40" s="12"/>
      <c r="E40" s="12"/>
      <c r="G40" s="12"/>
      <c r="H40" s="12"/>
      <c r="I40" s="12"/>
      <c r="J40" s="12"/>
    </row>
    <row r="41" spans="2:10" x14ac:dyDescent="0.2">
      <c r="B41" s="12" t="s">
        <v>281</v>
      </c>
      <c r="C41" s="12" t="s">
        <v>117</v>
      </c>
      <c r="D41" s="84" t="str">
        <f>_xlfn.CONCAT(B41," GAV")</f>
        <v>France GAV</v>
      </c>
      <c r="E41" s="12"/>
      <c r="G41" s="12" t="s">
        <v>277</v>
      </c>
      <c r="H41" s="12" t="s">
        <v>117</v>
      </c>
      <c r="I41" s="84" t="str">
        <f>_xlfn.CONCAT(G41," GAV")</f>
        <v>Retail GAV</v>
      </c>
      <c r="J41" s="12"/>
    </row>
    <row r="42" spans="2:10" x14ac:dyDescent="0.2">
      <c r="B42" s="12" t="s">
        <v>293</v>
      </c>
      <c r="C42" s="12"/>
      <c r="D42" s="85" t="s">
        <v>283</v>
      </c>
      <c r="E42" s="12"/>
      <c r="G42" s="12" t="s">
        <v>294</v>
      </c>
      <c r="H42" s="12"/>
      <c r="I42" s="85" t="s">
        <v>283</v>
      </c>
      <c r="J42" s="12"/>
    </row>
    <row r="43" spans="2:10" x14ac:dyDescent="0.2">
      <c r="B43" s="12"/>
      <c r="C43" s="12"/>
      <c r="D43" s="12"/>
      <c r="E43" s="12"/>
      <c r="G43" s="12"/>
      <c r="H43" s="12"/>
      <c r="I43" s="12"/>
      <c r="J43" s="12"/>
    </row>
    <row r="44" spans="2:10" x14ac:dyDescent="0.2">
      <c r="B44" s="12"/>
      <c r="C44" s="12" t="s">
        <v>117</v>
      </c>
      <c r="D44" s="114">
        <f>SUMIF($E$12:$E$22,B41,$H$12:$H$22)</f>
        <v>150453149</v>
      </c>
      <c r="E44" s="102"/>
      <c r="F44" s="13"/>
      <c r="G44" s="102"/>
      <c r="H44" s="102" t="s">
        <v>117</v>
      </c>
      <c r="I44" s="114">
        <f>SUMIF($D$12:$D$22,G41,$H$12:$H$22)</f>
        <v>320302697</v>
      </c>
      <c r="J44" s="12"/>
    </row>
    <row r="45" spans="2:10" x14ac:dyDescent="0.2">
      <c r="B45" s="12"/>
      <c r="C45" s="12"/>
      <c r="D45" s="115">
        <f>$G$12</f>
        <v>524227000</v>
      </c>
      <c r="E45" s="102"/>
      <c r="F45" s="13"/>
      <c r="G45" s="102"/>
      <c r="H45" s="102"/>
      <c r="I45" s="115">
        <f>$G$12</f>
        <v>524227000</v>
      </c>
      <c r="J45" s="12"/>
    </row>
    <row r="46" spans="2:10" x14ac:dyDescent="0.2">
      <c r="B46" s="12"/>
      <c r="C46" s="12"/>
      <c r="D46" s="12"/>
      <c r="E46" s="12"/>
      <c r="G46" s="12"/>
      <c r="H46" s="12"/>
      <c r="I46" s="12"/>
      <c r="J46" s="12"/>
    </row>
    <row r="47" spans="2:10" x14ac:dyDescent="0.2">
      <c r="B47" s="12"/>
      <c r="C47" s="12" t="s">
        <v>117</v>
      </c>
      <c r="D47" s="86">
        <f>D44/D45</f>
        <v>0.28699999999999998</v>
      </c>
      <c r="E47" s="12"/>
      <c r="G47" s="12"/>
      <c r="H47" s="12" t="s">
        <v>117</v>
      </c>
      <c r="I47" s="86">
        <f>I44/I45</f>
        <v>0.61099999999999999</v>
      </c>
      <c r="J47" s="12"/>
    </row>
    <row r="48" spans="2:10" x14ac:dyDescent="0.2">
      <c r="B48" s="12"/>
      <c r="C48" s="12"/>
      <c r="D48" s="12"/>
      <c r="E48" s="12"/>
      <c r="G48" s="12"/>
      <c r="H48" s="12"/>
      <c r="I48" s="12"/>
      <c r="J48" s="12"/>
    </row>
    <row r="52" spans="2:10" x14ac:dyDescent="0.2">
      <c r="B52" s="21" t="s">
        <v>115</v>
      </c>
      <c r="C52" s="22" t="str">
        <f>_xlfn.CONCAT("Calculate the country allocation for ",B54)</f>
        <v>Calculate the country allocation for Belgium</v>
      </c>
      <c r="D52" s="20"/>
      <c r="E52" s="20"/>
      <c r="G52" s="21" t="s">
        <v>115</v>
      </c>
      <c r="H52" s="22" t="str">
        <f>_xlfn.CONCAT("Calculate the sector allocation for ",G54)</f>
        <v>Calculate the sector allocation for Industrial / Logistics</v>
      </c>
      <c r="I52" s="20"/>
      <c r="J52" s="20"/>
    </row>
    <row r="53" spans="2:10" x14ac:dyDescent="0.2">
      <c r="B53" s="12"/>
      <c r="C53" s="12"/>
      <c r="D53" s="12"/>
      <c r="E53" s="12"/>
      <c r="G53" s="12"/>
      <c r="H53" s="12"/>
      <c r="I53" s="12"/>
      <c r="J53" s="12"/>
    </row>
    <row r="54" spans="2:10" x14ac:dyDescent="0.2">
      <c r="B54" s="12" t="s">
        <v>285</v>
      </c>
      <c r="C54" s="12" t="s">
        <v>117</v>
      </c>
      <c r="D54" s="84" t="str">
        <f>_xlfn.CONCAT(B54," GAV")</f>
        <v>Belgium GAV</v>
      </c>
      <c r="E54" s="12"/>
      <c r="G54" s="12" t="s">
        <v>279</v>
      </c>
      <c r="H54" s="12" t="s">
        <v>117</v>
      </c>
      <c r="I54" s="90" t="str">
        <f>_xlfn.CONCAT(G54," GAV")</f>
        <v>Industrial / Logistics GAV</v>
      </c>
      <c r="J54" s="12"/>
    </row>
    <row r="55" spans="2:10" x14ac:dyDescent="0.2">
      <c r="B55" s="12" t="s">
        <v>293</v>
      </c>
      <c r="C55" s="12"/>
      <c r="D55" s="85" t="s">
        <v>283</v>
      </c>
      <c r="E55" s="12"/>
      <c r="G55" s="12" t="s">
        <v>294</v>
      </c>
      <c r="H55" s="12"/>
      <c r="I55" s="85" t="s">
        <v>283</v>
      </c>
      <c r="J55" s="12"/>
    </row>
    <row r="56" spans="2:10" x14ac:dyDescent="0.2">
      <c r="B56" s="12"/>
      <c r="C56" s="12"/>
      <c r="D56" s="12"/>
      <c r="E56" s="12"/>
      <c r="G56" s="12"/>
      <c r="H56" s="12"/>
      <c r="I56" s="12"/>
      <c r="J56" s="12"/>
    </row>
    <row r="57" spans="2:10" x14ac:dyDescent="0.2">
      <c r="B57" s="12"/>
      <c r="C57" s="12" t="s">
        <v>117</v>
      </c>
      <c r="D57" s="114">
        <f>SUMIF($E$12:$E$22,B54,$H$12:$H$22)</f>
        <v>58189197</v>
      </c>
      <c r="E57" s="102"/>
      <c r="F57" s="13"/>
      <c r="G57" s="102"/>
      <c r="H57" s="102" t="s">
        <v>117</v>
      </c>
      <c r="I57" s="114">
        <f>SUMIF($D$12:$D$22,G54,$H$12:$H$22)</f>
        <v>85449001</v>
      </c>
      <c r="J57" s="12"/>
    </row>
    <row r="58" spans="2:10" x14ac:dyDescent="0.2">
      <c r="B58" s="12"/>
      <c r="C58" s="12"/>
      <c r="D58" s="115">
        <f>$G$12</f>
        <v>524227000</v>
      </c>
      <c r="E58" s="102"/>
      <c r="F58" s="13"/>
      <c r="G58" s="102"/>
      <c r="H58" s="102"/>
      <c r="I58" s="115">
        <f>$G$12</f>
        <v>524227000</v>
      </c>
      <c r="J58" s="12"/>
    </row>
    <row r="59" spans="2:10" x14ac:dyDescent="0.2">
      <c r="B59" s="12"/>
      <c r="C59" s="12"/>
      <c r="D59" s="12"/>
      <c r="E59" s="12"/>
      <c r="G59" s="12"/>
      <c r="H59" s="12"/>
      <c r="I59" s="12"/>
      <c r="J59" s="12"/>
    </row>
    <row r="60" spans="2:10" x14ac:dyDescent="0.2">
      <c r="B60" s="12"/>
      <c r="C60" s="12" t="s">
        <v>117</v>
      </c>
      <c r="D60" s="86">
        <f>D57/D58</f>
        <v>0.111</v>
      </c>
      <c r="E60" s="12"/>
      <c r="G60" s="12"/>
      <c r="H60" s="12" t="s">
        <v>117</v>
      </c>
      <c r="I60" s="86">
        <f>I57/I58</f>
        <v>0.16300000000000001</v>
      </c>
      <c r="J60" s="12"/>
    </row>
    <row r="61" spans="2:10" x14ac:dyDescent="0.2">
      <c r="B61" s="12"/>
      <c r="C61" s="12"/>
      <c r="D61" s="12"/>
      <c r="E61" s="12"/>
      <c r="G61" s="12"/>
      <c r="H61" s="12"/>
      <c r="I61" s="12"/>
      <c r="J61" s="12"/>
    </row>
    <row r="65" spans="2:5" x14ac:dyDescent="0.2">
      <c r="B65" s="21" t="s">
        <v>115</v>
      </c>
      <c r="C65" s="22" t="str">
        <f>_xlfn.CONCAT("Calculate the country allocation for ",B67)</f>
        <v>Calculate the country allocation for Germany</v>
      </c>
      <c r="D65" s="20"/>
      <c r="E65" s="20"/>
    </row>
    <row r="66" spans="2:5" x14ac:dyDescent="0.2">
      <c r="B66" s="12"/>
      <c r="C66" s="12"/>
      <c r="D66" s="12"/>
      <c r="E66" s="12"/>
    </row>
    <row r="67" spans="2:5" x14ac:dyDescent="0.2">
      <c r="B67" s="12" t="s">
        <v>287</v>
      </c>
      <c r="C67" s="12" t="s">
        <v>117</v>
      </c>
      <c r="D67" s="84" t="str">
        <f>_xlfn.CONCAT(B67," GAV")</f>
        <v>Germany GAV</v>
      </c>
      <c r="E67" s="12"/>
    </row>
    <row r="68" spans="2:5" x14ac:dyDescent="0.2">
      <c r="B68" s="12" t="s">
        <v>293</v>
      </c>
      <c r="C68" s="12"/>
      <c r="D68" s="85" t="s">
        <v>283</v>
      </c>
      <c r="E68" s="12"/>
    </row>
    <row r="69" spans="2:5" x14ac:dyDescent="0.2">
      <c r="B69" s="12"/>
      <c r="C69" s="12"/>
      <c r="D69" s="12"/>
      <c r="E69" s="12"/>
    </row>
    <row r="70" spans="2:5" x14ac:dyDescent="0.2">
      <c r="B70" s="12"/>
      <c r="C70" s="12" t="s">
        <v>117</v>
      </c>
      <c r="D70" s="114">
        <f>SUMIF($E$12:$E$22,B67,$H$12:$H$22)</f>
        <v>81255185</v>
      </c>
      <c r="E70" s="12"/>
    </row>
    <row r="71" spans="2:5" x14ac:dyDescent="0.2">
      <c r="B71" s="12"/>
      <c r="C71" s="12"/>
      <c r="D71" s="115">
        <f>$G$12</f>
        <v>524227000</v>
      </c>
      <c r="E71" s="12"/>
    </row>
    <row r="72" spans="2:5" x14ac:dyDescent="0.2">
      <c r="B72" s="12"/>
      <c r="C72" s="12"/>
      <c r="D72" s="12"/>
      <c r="E72" s="12"/>
    </row>
    <row r="73" spans="2:5" x14ac:dyDescent="0.2">
      <c r="B73" s="12"/>
      <c r="C73" s="12" t="s">
        <v>117</v>
      </c>
      <c r="D73" s="86">
        <f>D70/D71</f>
        <v>0.155</v>
      </c>
      <c r="E73" s="12"/>
    </row>
    <row r="74" spans="2:5" x14ac:dyDescent="0.2">
      <c r="B74" s="12"/>
      <c r="C74" s="12"/>
      <c r="D74" s="12"/>
      <c r="E74" s="12"/>
    </row>
    <row r="78" spans="2:5" x14ac:dyDescent="0.2">
      <c r="B78" s="21" t="s">
        <v>115</v>
      </c>
      <c r="C78" s="22" t="str">
        <f>_xlfn.CONCAT("Calculate the country allocation for ",B80)</f>
        <v>Calculate the country allocation for Netherlands</v>
      </c>
      <c r="D78" s="20"/>
      <c r="E78" s="20"/>
    </row>
    <row r="79" spans="2:5" x14ac:dyDescent="0.2">
      <c r="B79" s="12"/>
      <c r="C79" s="12"/>
      <c r="D79" s="12"/>
      <c r="E79" s="12"/>
    </row>
    <row r="80" spans="2:5" x14ac:dyDescent="0.2">
      <c r="B80" s="12" t="s">
        <v>290</v>
      </c>
      <c r="C80" s="12" t="s">
        <v>117</v>
      </c>
      <c r="D80" s="84" t="str">
        <f>_xlfn.CONCAT(B80," GAV")</f>
        <v>Netherlands GAV</v>
      </c>
      <c r="E80" s="12"/>
    </row>
    <row r="81" spans="2:5" x14ac:dyDescent="0.2">
      <c r="B81" s="12" t="s">
        <v>293</v>
      </c>
      <c r="C81" s="12"/>
      <c r="D81" s="85" t="s">
        <v>283</v>
      </c>
      <c r="E81" s="12"/>
    </row>
    <row r="82" spans="2:5" x14ac:dyDescent="0.2">
      <c r="B82" s="12"/>
      <c r="C82" s="12"/>
      <c r="D82" s="12"/>
      <c r="E82" s="12"/>
    </row>
    <row r="83" spans="2:5" x14ac:dyDescent="0.2">
      <c r="B83" s="12"/>
      <c r="C83" s="12" t="s">
        <v>117</v>
      </c>
      <c r="D83" s="114">
        <f>SUMIF($E$12:$E$22,B80,$H$12:$H$22)</f>
        <v>127387161</v>
      </c>
      <c r="E83" s="12"/>
    </row>
    <row r="84" spans="2:5" x14ac:dyDescent="0.2">
      <c r="B84" s="12"/>
      <c r="C84" s="12"/>
      <c r="D84" s="115">
        <f>$G$12</f>
        <v>524227000</v>
      </c>
      <c r="E84" s="12"/>
    </row>
    <row r="85" spans="2:5" x14ac:dyDescent="0.2">
      <c r="B85" s="12"/>
      <c r="C85" s="12"/>
      <c r="D85" s="12"/>
      <c r="E85" s="12"/>
    </row>
    <row r="86" spans="2:5" x14ac:dyDescent="0.2">
      <c r="B86" s="12"/>
      <c r="C86" s="12" t="s">
        <v>117</v>
      </c>
      <c r="D86" s="86">
        <f>D83/D84</f>
        <v>0.24299999999999999</v>
      </c>
      <c r="E86" s="12"/>
    </row>
    <row r="87" spans="2:5" x14ac:dyDescent="0.2">
      <c r="B87" s="12"/>
      <c r="C87" s="12"/>
      <c r="D87" s="12"/>
      <c r="E87" s="12"/>
    </row>
  </sheetData>
  <mergeCells count="1">
    <mergeCell ref="J1:N1"/>
  </mergeCells>
  <hyperlinks>
    <hyperlink ref="J1:N1" location="'Table of Contents'!A1" display="Back to Table of Contents" xr:uid="{1A261DB3-E7AE-4A02-B1A2-3B345749269A}"/>
  </hyperlink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90E9E-0883-4EAF-B491-C9073D3819EC}">
  <sheetPr>
    <tabColor theme="7"/>
  </sheetPr>
  <dimension ref="A1:P51"/>
  <sheetViews>
    <sheetView showGridLines="0" zoomScaleNormal="100" zoomScalePageLayoutView="85" workbookViewId="0">
      <pane ySplit="7" topLeftCell="A8" activePane="bottomLeft" state="frozen"/>
      <selection activeCell="B9" sqref="B9"/>
      <selection pane="bottomLeft" activeCell="J16" sqref="J16"/>
    </sheetView>
  </sheetViews>
  <sheetFormatPr defaultColWidth="8.7109375" defaultRowHeight="12.75" x14ac:dyDescent="0.2"/>
  <cols>
    <col min="1" max="1" width="7.28515625" style="7" customWidth="1"/>
    <col min="2" max="2" width="27.7109375" customWidth="1"/>
    <col min="3" max="3" width="12.7109375" bestFit="1" customWidth="1"/>
    <col min="4" max="4" width="15" bestFit="1" customWidth="1"/>
    <col min="5" max="5" width="14.140625" customWidth="1"/>
    <col min="6" max="6" width="22.140625" bestFit="1" customWidth="1"/>
    <col min="7" max="7" width="24.5703125" bestFit="1" customWidth="1"/>
    <col min="8" max="8" width="8.5703125" customWidth="1"/>
    <col min="9" max="9" width="10.140625" bestFit="1" customWidth="1"/>
    <col min="10" max="10" width="21.28515625" style="55" bestFit="1" customWidth="1"/>
    <col min="12" max="12" width="21.28515625" bestFit="1" customWidth="1"/>
    <col min="13" max="13" width="10" bestFit="1" customWidth="1"/>
  </cols>
  <sheetData>
    <row r="1" spans="1:16" s="1" customFormat="1" ht="34.9" customHeight="1" x14ac:dyDescent="0.2">
      <c r="A1" s="6"/>
      <c r="B1" s="2" t="str">
        <f ca="1">MID(CELL("filename",A1),FIND("]",CELL("filename",A1))+ 1,255)&amp;" calculation example"</f>
        <v>Currency conversion - NAV calculation example</v>
      </c>
      <c r="J1" s="181" t="s">
        <v>68</v>
      </c>
      <c r="K1" s="181"/>
      <c r="L1" s="181"/>
      <c r="M1" s="181"/>
      <c r="N1" s="181"/>
    </row>
    <row r="3" spans="1:16" x14ac:dyDescent="0.2">
      <c r="A3"/>
    </row>
    <row r="4" spans="1:16" ht="12.75" customHeight="1" x14ac:dyDescent="0.2">
      <c r="A4"/>
      <c r="B4" s="12" t="s">
        <v>69</v>
      </c>
      <c r="C4" s="12" t="s">
        <v>70</v>
      </c>
      <c r="D4" s="12"/>
      <c r="F4" s="186" t="s">
        <v>295</v>
      </c>
      <c r="G4" s="186"/>
      <c r="H4" s="186"/>
      <c r="I4" s="186"/>
      <c r="J4" s="186"/>
      <c r="K4" s="186"/>
      <c r="L4" s="186"/>
      <c r="M4" s="186"/>
      <c r="N4" s="186"/>
      <c r="O4" s="186"/>
      <c r="P4" s="186"/>
    </row>
    <row r="5" spans="1:16" x14ac:dyDescent="0.2">
      <c r="A5"/>
      <c r="B5" s="12" t="s">
        <v>72</v>
      </c>
      <c r="C5" s="12" t="s">
        <v>73</v>
      </c>
      <c r="D5" s="12"/>
      <c r="F5" s="186"/>
      <c r="G5" s="186"/>
      <c r="H5" s="186"/>
      <c r="I5" s="186"/>
      <c r="J5" s="186"/>
      <c r="K5" s="186"/>
      <c r="L5" s="186"/>
      <c r="M5" s="186"/>
      <c r="N5" s="186"/>
      <c r="O5" s="186"/>
      <c r="P5" s="186"/>
    </row>
    <row r="6" spans="1:16" x14ac:dyDescent="0.2">
      <c r="A6"/>
      <c r="B6" s="12" t="s">
        <v>296</v>
      </c>
      <c r="C6" s="12" t="s">
        <v>297</v>
      </c>
      <c r="D6" s="12"/>
      <c r="F6" s="186"/>
      <c r="G6" s="186"/>
      <c r="H6" s="186"/>
      <c r="I6" s="186"/>
      <c r="J6" s="186"/>
      <c r="K6" s="186"/>
      <c r="L6" s="186"/>
      <c r="M6" s="186"/>
      <c r="N6" s="186"/>
      <c r="O6" s="186"/>
      <c r="P6" s="186"/>
    </row>
    <row r="7" spans="1:16" x14ac:dyDescent="0.2">
      <c r="A7"/>
      <c r="B7" s="12" t="s">
        <v>74</v>
      </c>
      <c r="C7" s="12" t="s">
        <v>75</v>
      </c>
      <c r="D7" s="12"/>
      <c r="F7" s="186"/>
      <c r="G7" s="186"/>
      <c r="H7" s="186"/>
      <c r="I7" s="186"/>
      <c r="J7" s="186"/>
      <c r="K7" s="186"/>
      <c r="L7" s="186"/>
      <c r="M7" s="186"/>
      <c r="N7" s="186"/>
      <c r="O7" s="186"/>
      <c r="P7" s="186"/>
    </row>
    <row r="8" spans="1:16" x14ac:dyDescent="0.2">
      <c r="A8"/>
    </row>
    <row r="9" spans="1:16" x14ac:dyDescent="0.2">
      <c r="A9"/>
      <c r="B9" s="142" t="s">
        <v>298</v>
      </c>
    </row>
    <row r="10" spans="1:16" x14ac:dyDescent="0.2">
      <c r="A10"/>
      <c r="J10"/>
    </row>
    <row r="11" spans="1:16" x14ac:dyDescent="0.2">
      <c r="A11"/>
      <c r="B11" s="3" t="s">
        <v>135</v>
      </c>
      <c r="I11" s="3" t="s">
        <v>78</v>
      </c>
      <c r="J11"/>
    </row>
    <row r="12" spans="1:16" x14ac:dyDescent="0.2">
      <c r="A12"/>
      <c r="B12" s="4" t="s">
        <v>79</v>
      </c>
      <c r="C12" s="4" t="s">
        <v>80</v>
      </c>
      <c r="D12" s="37" t="s">
        <v>315</v>
      </c>
      <c r="E12" s="37" t="s">
        <v>82</v>
      </c>
      <c r="F12" s="91" t="s">
        <v>316</v>
      </c>
      <c r="G12" s="4" t="s">
        <v>317</v>
      </c>
      <c r="I12" s="4" t="s">
        <v>82</v>
      </c>
      <c r="J12" s="4" t="s">
        <v>318</v>
      </c>
    </row>
    <row r="13" spans="1:16" s="29" customFormat="1" x14ac:dyDescent="0.2">
      <c r="B13" s="29">
        <v>2009</v>
      </c>
      <c r="C13" s="29">
        <v>4</v>
      </c>
      <c r="D13" s="111">
        <v>150000000</v>
      </c>
      <c r="E13" s="92">
        <v>40178</v>
      </c>
      <c r="F13" s="73">
        <v>1.5928</v>
      </c>
      <c r="G13" s="31">
        <v>40543</v>
      </c>
      <c r="H13"/>
      <c r="I13" s="31">
        <f>E13</f>
        <v>40178</v>
      </c>
      <c r="J13" s="111">
        <f>D13*F13</f>
        <v>238920000</v>
      </c>
      <c r="K13"/>
      <c r="M13"/>
      <c r="N13"/>
      <c r="O13"/>
      <c r="P13"/>
    </row>
    <row r="14" spans="1:16" s="29" customFormat="1" x14ac:dyDescent="0.2">
      <c r="B14" s="29">
        <v>2010</v>
      </c>
      <c r="C14" s="29">
        <v>4</v>
      </c>
      <c r="D14" s="111">
        <v>271000000</v>
      </c>
      <c r="E14" s="92">
        <v>40543</v>
      </c>
      <c r="F14" s="73">
        <v>1.5470999999999999</v>
      </c>
      <c r="G14" s="31">
        <v>40543</v>
      </c>
      <c r="H14"/>
      <c r="I14" s="31">
        <f>E14</f>
        <v>40543</v>
      </c>
      <c r="J14" s="111">
        <f>D14*F14</f>
        <v>419264100</v>
      </c>
      <c r="K14"/>
      <c r="M14"/>
      <c r="N14"/>
      <c r="O14"/>
      <c r="P14"/>
    </row>
    <row r="15" spans="1:16" s="29" customFormat="1" x14ac:dyDescent="0.2">
      <c r="A15" s="36"/>
      <c r="B15" s="29">
        <v>2011</v>
      </c>
      <c r="C15" s="29">
        <v>4</v>
      </c>
      <c r="D15" s="111">
        <v>290000000</v>
      </c>
      <c r="E15" s="92">
        <v>40908</v>
      </c>
      <c r="F15" s="73">
        <v>1.5456000000000001</v>
      </c>
      <c r="G15" s="31">
        <v>40908</v>
      </c>
      <c r="H15"/>
      <c r="I15" s="31">
        <f>E15</f>
        <v>40908</v>
      </c>
      <c r="J15" s="111">
        <f>D15*F15</f>
        <v>448224000</v>
      </c>
      <c r="K15"/>
      <c r="M15"/>
      <c r="N15"/>
      <c r="O15"/>
      <c r="P15"/>
    </row>
    <row r="16" spans="1:16" s="29" customFormat="1" x14ac:dyDescent="0.2">
      <c r="A16" s="36"/>
      <c r="B16" s="29">
        <v>2012</v>
      </c>
      <c r="C16" s="29">
        <v>4</v>
      </c>
      <c r="D16" s="30">
        <v>320000000</v>
      </c>
      <c r="E16" s="31">
        <v>41274</v>
      </c>
      <c r="F16" s="162">
        <v>1.6168199999999999</v>
      </c>
      <c r="G16" s="31">
        <v>40908</v>
      </c>
      <c r="H16"/>
      <c r="I16" s="31">
        <f>E16</f>
        <v>41274</v>
      </c>
      <c r="J16" s="111">
        <f>D16*F16</f>
        <v>517382400</v>
      </c>
      <c r="K16"/>
      <c r="L16"/>
      <c r="M16"/>
      <c r="N16"/>
      <c r="O16"/>
      <c r="P16"/>
    </row>
    <row r="17" spans="2:10" x14ac:dyDescent="0.2">
      <c r="B17" s="10"/>
      <c r="J17"/>
    </row>
    <row r="18" spans="2:10" x14ac:dyDescent="0.2">
      <c r="B18" s="10"/>
      <c r="J18"/>
    </row>
    <row r="19" spans="2:10" x14ac:dyDescent="0.2">
      <c r="B19" s="21" t="s">
        <v>115</v>
      </c>
      <c r="C19" s="22" t="s">
        <v>319</v>
      </c>
      <c r="D19" s="20"/>
      <c r="E19" s="20"/>
      <c r="F19" s="12"/>
      <c r="J19"/>
    </row>
    <row r="20" spans="2:10" x14ac:dyDescent="0.2">
      <c r="B20" s="12"/>
      <c r="C20" s="12"/>
      <c r="D20" s="12"/>
      <c r="E20" s="12"/>
      <c r="F20" s="12"/>
      <c r="J20"/>
    </row>
    <row r="21" spans="2:10" x14ac:dyDescent="0.2">
      <c r="B21" s="93">
        <f>E13</f>
        <v>40178</v>
      </c>
      <c r="C21" s="12" t="s">
        <v>117</v>
      </c>
      <c r="D21" s="52" t="str">
        <f>_xlfn.CONCAT(TEXT(D13,"0,0")," * ",F13)</f>
        <v>150000000,0 * 1,5928</v>
      </c>
      <c r="E21" s="12"/>
      <c r="F21" s="12"/>
      <c r="J21"/>
    </row>
    <row r="22" spans="2:10" x14ac:dyDescent="0.2">
      <c r="B22" s="12"/>
      <c r="C22" s="12"/>
      <c r="D22" s="12"/>
      <c r="E22" s="12"/>
      <c r="F22" s="12"/>
      <c r="J22"/>
    </row>
    <row r="23" spans="2:10" x14ac:dyDescent="0.2">
      <c r="B23" s="12"/>
      <c r="C23" s="12" t="s">
        <v>117</v>
      </c>
      <c r="D23" s="116">
        <f>D13*F13</f>
        <v>238920000</v>
      </c>
      <c r="E23" s="12"/>
      <c r="F23" s="12"/>
      <c r="J23"/>
    </row>
    <row r="24" spans="2:10" x14ac:dyDescent="0.2">
      <c r="B24" s="12"/>
      <c r="C24" s="12"/>
      <c r="D24" s="12"/>
      <c r="E24" s="12"/>
      <c r="F24" s="12"/>
    </row>
    <row r="28" spans="2:10" x14ac:dyDescent="0.2">
      <c r="B28" s="21" t="s">
        <v>115</v>
      </c>
      <c r="C28" s="22" t="s">
        <v>319</v>
      </c>
      <c r="D28" s="20"/>
      <c r="E28" s="20"/>
      <c r="F28" s="12"/>
      <c r="J28"/>
    </row>
    <row r="29" spans="2:10" x14ac:dyDescent="0.2">
      <c r="B29" s="12"/>
      <c r="C29" s="12"/>
      <c r="D29" s="12"/>
      <c r="E29" s="12"/>
      <c r="F29" s="12"/>
      <c r="J29"/>
    </row>
    <row r="30" spans="2:10" x14ac:dyDescent="0.2">
      <c r="B30" s="93">
        <f>E14</f>
        <v>40543</v>
      </c>
      <c r="C30" s="12" t="s">
        <v>117</v>
      </c>
      <c r="D30" s="52" t="str">
        <f>_xlfn.CONCAT(TEXT(D14,"0,0")," * ",F14)</f>
        <v>271000000,0 * 1,5471</v>
      </c>
      <c r="E30" s="12"/>
      <c r="F30" s="12"/>
      <c r="J30"/>
    </row>
    <row r="31" spans="2:10" x14ac:dyDescent="0.2">
      <c r="B31" s="12"/>
      <c r="C31" s="12"/>
      <c r="D31" s="12"/>
      <c r="E31" s="12"/>
      <c r="F31" s="12"/>
      <c r="J31"/>
    </row>
    <row r="32" spans="2:10" x14ac:dyDescent="0.2">
      <c r="B32" s="12"/>
      <c r="C32" s="12" t="s">
        <v>117</v>
      </c>
      <c r="D32" s="116">
        <f>D14*F14</f>
        <v>419264100</v>
      </c>
      <c r="E32" s="12"/>
      <c r="F32" s="12"/>
      <c r="J32"/>
    </row>
    <row r="33" spans="2:6" x14ac:dyDescent="0.2">
      <c r="B33" s="12"/>
      <c r="C33" s="12"/>
      <c r="D33" s="12"/>
      <c r="E33" s="12"/>
      <c r="F33" s="12"/>
    </row>
    <row r="37" spans="2:6" x14ac:dyDescent="0.2">
      <c r="B37" s="21" t="s">
        <v>115</v>
      </c>
      <c r="C37" s="22" t="s">
        <v>319</v>
      </c>
      <c r="D37" s="20"/>
      <c r="E37" s="20"/>
      <c r="F37" s="12"/>
    </row>
    <row r="38" spans="2:6" x14ac:dyDescent="0.2">
      <c r="B38" s="12"/>
      <c r="C38" s="12"/>
      <c r="D38" s="12"/>
      <c r="E38" s="12"/>
      <c r="F38" s="12"/>
    </row>
    <row r="39" spans="2:6" x14ac:dyDescent="0.2">
      <c r="B39" s="93">
        <f>E15</f>
        <v>40908</v>
      </c>
      <c r="C39" s="12" t="s">
        <v>117</v>
      </c>
      <c r="D39" s="52" t="str">
        <f>_xlfn.CONCAT(TEXT(D15,"0,0")," * ",F15)</f>
        <v>290000000,0 * 1,5456</v>
      </c>
      <c r="E39" s="12"/>
      <c r="F39" s="12"/>
    </row>
    <row r="40" spans="2:6" x14ac:dyDescent="0.2">
      <c r="B40" s="12"/>
      <c r="C40" s="12"/>
      <c r="D40" s="12"/>
      <c r="E40" s="12"/>
      <c r="F40" s="12"/>
    </row>
    <row r="41" spans="2:6" x14ac:dyDescent="0.2">
      <c r="B41" s="12"/>
      <c r="C41" s="12" t="s">
        <v>117</v>
      </c>
      <c r="D41" s="116">
        <f>D15*F15</f>
        <v>448224000</v>
      </c>
      <c r="E41" s="12"/>
      <c r="F41" s="12"/>
    </row>
    <row r="42" spans="2:6" x14ac:dyDescent="0.2">
      <c r="B42" s="12"/>
      <c r="C42" s="12"/>
      <c r="D42" s="12"/>
      <c r="E42" s="12"/>
      <c r="F42" s="12"/>
    </row>
    <row r="46" spans="2:6" x14ac:dyDescent="0.2">
      <c r="B46" s="21" t="s">
        <v>115</v>
      </c>
      <c r="C46" s="22" t="s">
        <v>319</v>
      </c>
      <c r="D46" s="20"/>
      <c r="E46" s="20"/>
      <c r="F46" s="12"/>
    </row>
    <row r="47" spans="2:6" x14ac:dyDescent="0.2">
      <c r="B47" s="12"/>
      <c r="C47" s="12"/>
      <c r="D47" s="12"/>
      <c r="E47" s="12"/>
      <c r="F47" s="12"/>
    </row>
    <row r="48" spans="2:6" x14ac:dyDescent="0.2">
      <c r="B48" s="93">
        <f>E16</f>
        <v>41274</v>
      </c>
      <c r="C48" s="12" t="s">
        <v>117</v>
      </c>
      <c r="D48" s="52" t="str">
        <f>_xlfn.CONCAT(TEXT(D16,"0,0")," * ",F16)</f>
        <v>320000000,0 * 1,61682</v>
      </c>
      <c r="E48" s="12"/>
      <c r="F48" s="12"/>
    </row>
    <row r="49" spans="2:6" x14ac:dyDescent="0.2">
      <c r="B49" s="12"/>
      <c r="C49" s="12"/>
      <c r="D49" s="12"/>
      <c r="E49" s="12"/>
      <c r="F49" s="12"/>
    </row>
    <row r="50" spans="2:6" x14ac:dyDescent="0.2">
      <c r="B50" s="12"/>
      <c r="C50" s="12" t="s">
        <v>117</v>
      </c>
      <c r="D50" s="116">
        <f>D16*F16</f>
        <v>517382400</v>
      </c>
      <c r="E50" s="12"/>
      <c r="F50" s="12"/>
    </row>
    <row r="51" spans="2:6" x14ac:dyDescent="0.2">
      <c r="B51" s="12"/>
      <c r="C51" s="12"/>
      <c r="D51" s="12"/>
      <c r="E51" s="12"/>
      <c r="F51" s="12"/>
    </row>
  </sheetData>
  <mergeCells count="2">
    <mergeCell ref="J1:N1"/>
    <mergeCell ref="F4:P7"/>
  </mergeCells>
  <hyperlinks>
    <hyperlink ref="J1:N1" location="'Table of Contents'!A1" display="Back to Table of Contents" xr:uid="{54F181BC-360C-467D-AFE6-DB342A3C174E}"/>
  </hyperlink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06356-32D9-4071-9ACF-44CC2BE1C65A}">
  <sheetPr>
    <tabColor theme="7"/>
  </sheetPr>
  <dimension ref="A1:R75"/>
  <sheetViews>
    <sheetView showGridLines="0" zoomScale="64" zoomScaleNormal="90" zoomScalePageLayoutView="85" workbookViewId="0">
      <pane ySplit="7" topLeftCell="A8" activePane="bottomLeft" state="frozen"/>
      <selection activeCell="B9" sqref="B9"/>
      <selection pane="bottomLeft" activeCell="I13" sqref="I13"/>
    </sheetView>
  </sheetViews>
  <sheetFormatPr defaultColWidth="8.7109375" defaultRowHeight="12.75" x14ac:dyDescent="0.2"/>
  <cols>
    <col min="1" max="1" width="7.28515625" style="7" customWidth="1"/>
    <col min="2" max="2" width="22.28515625" customWidth="1"/>
    <col min="3" max="3" width="15" bestFit="1" customWidth="1"/>
    <col min="4" max="4" width="14" bestFit="1" customWidth="1"/>
    <col min="5" max="6" width="10.7109375" customWidth="1"/>
    <col min="7" max="7" width="14.140625" customWidth="1"/>
    <col min="8" max="8" width="13.5703125" bestFit="1" customWidth="1"/>
    <col min="9" max="9" width="23" bestFit="1" customWidth="1"/>
    <col min="10" max="10" width="13.85546875" customWidth="1"/>
    <col min="11" max="11" width="11.7109375" bestFit="1" customWidth="1"/>
    <col min="12" max="12" width="23" bestFit="1" customWidth="1"/>
    <col min="13" max="13" width="10" bestFit="1" customWidth="1"/>
    <col min="14" max="14" width="20.5703125" customWidth="1"/>
    <col min="15" max="15" width="23" bestFit="1" customWidth="1"/>
    <col min="16" max="16" width="13.42578125" customWidth="1"/>
  </cols>
  <sheetData>
    <row r="1" spans="1:16" s="1" customFormat="1" ht="34.9" customHeight="1" x14ac:dyDescent="0.2">
      <c r="A1" s="6"/>
      <c r="B1" s="2" t="str">
        <f ca="1">MID(CELL("filename",A1),FIND("]",CELL("filename",A1))+ 1,255)&amp;" calculation example"</f>
        <v>Currency conversion - cashflows calculation example</v>
      </c>
      <c r="J1" s="181" t="s">
        <v>68</v>
      </c>
      <c r="K1" s="181"/>
      <c r="L1" s="181"/>
      <c r="M1" s="181"/>
      <c r="N1" s="181"/>
    </row>
    <row r="3" spans="1:16" x14ac:dyDescent="0.2">
      <c r="A3"/>
    </row>
    <row r="4" spans="1:16" ht="12.75" customHeight="1" x14ac:dyDescent="0.2">
      <c r="A4"/>
      <c r="B4" s="12" t="s">
        <v>69</v>
      </c>
      <c r="C4" s="12" t="s">
        <v>70</v>
      </c>
      <c r="D4" s="12"/>
      <c r="F4" s="186" t="s">
        <v>295</v>
      </c>
      <c r="G4" s="186"/>
      <c r="H4" s="186"/>
      <c r="I4" s="186"/>
      <c r="J4" s="186"/>
      <c r="K4" s="186"/>
      <c r="L4" s="186"/>
      <c r="M4" s="186"/>
      <c r="N4" s="186"/>
      <c r="O4" s="186"/>
      <c r="P4" s="186"/>
    </row>
    <row r="5" spans="1:16" x14ac:dyDescent="0.2">
      <c r="A5"/>
      <c r="B5" s="12" t="s">
        <v>72</v>
      </c>
      <c r="C5" s="12" t="s">
        <v>73</v>
      </c>
      <c r="D5" s="12"/>
      <c r="F5" s="186"/>
      <c r="G5" s="186"/>
      <c r="H5" s="186"/>
      <c r="I5" s="186"/>
      <c r="J5" s="186"/>
      <c r="K5" s="186"/>
      <c r="L5" s="186"/>
      <c r="M5" s="186"/>
      <c r="N5" s="186"/>
      <c r="O5" s="186"/>
      <c r="P5" s="186"/>
    </row>
    <row r="6" spans="1:16" x14ac:dyDescent="0.2">
      <c r="A6"/>
      <c r="B6" s="12" t="s">
        <v>296</v>
      </c>
      <c r="C6" s="12" t="s">
        <v>297</v>
      </c>
      <c r="D6" s="12"/>
      <c r="F6" s="186"/>
      <c r="G6" s="186"/>
      <c r="H6" s="186"/>
      <c r="I6" s="186"/>
      <c r="J6" s="186"/>
      <c r="K6" s="186"/>
      <c r="L6" s="186"/>
      <c r="M6" s="186"/>
      <c r="N6" s="186"/>
      <c r="O6" s="186"/>
      <c r="P6" s="186"/>
    </row>
    <row r="7" spans="1:16" x14ac:dyDescent="0.2">
      <c r="A7"/>
      <c r="B7" s="12" t="s">
        <v>74</v>
      </c>
      <c r="C7" s="12" t="s">
        <v>75</v>
      </c>
      <c r="D7" s="12"/>
      <c r="F7" s="186"/>
      <c r="G7" s="186"/>
      <c r="H7" s="186"/>
      <c r="I7" s="186"/>
      <c r="J7" s="186"/>
      <c r="K7" s="186"/>
      <c r="L7" s="186"/>
      <c r="M7" s="186"/>
      <c r="N7" s="186"/>
      <c r="O7" s="186"/>
      <c r="P7" s="186"/>
    </row>
    <row r="8" spans="1:16" x14ac:dyDescent="0.2">
      <c r="A8"/>
    </row>
    <row r="9" spans="1:16" x14ac:dyDescent="0.2">
      <c r="A9"/>
      <c r="B9" s="142" t="s">
        <v>298</v>
      </c>
    </row>
    <row r="10" spans="1:16" x14ac:dyDescent="0.2">
      <c r="A10"/>
    </row>
    <row r="11" spans="1:16" x14ac:dyDescent="0.2">
      <c r="A11"/>
      <c r="B11" s="3" t="s">
        <v>135</v>
      </c>
      <c r="K11" s="3" t="s">
        <v>78</v>
      </c>
    </row>
    <row r="12" spans="1:16" x14ac:dyDescent="0.2">
      <c r="A12"/>
      <c r="B12" s="4"/>
      <c r="C12" s="4" t="s">
        <v>85</v>
      </c>
      <c r="D12" s="37" t="s">
        <v>82</v>
      </c>
      <c r="E12" s="4" t="s">
        <v>79</v>
      </c>
      <c r="F12" s="4" t="s">
        <v>80</v>
      </c>
      <c r="G12" s="4" t="s">
        <v>83</v>
      </c>
      <c r="H12" s="4" t="s">
        <v>84</v>
      </c>
      <c r="I12" s="4" t="s">
        <v>299</v>
      </c>
      <c r="K12" s="4"/>
      <c r="L12" s="4" t="s">
        <v>300</v>
      </c>
    </row>
    <row r="13" spans="1:16" s="29" customFormat="1" x14ac:dyDescent="0.2">
      <c r="A13" s="36"/>
      <c r="B13" s="29" t="s">
        <v>88</v>
      </c>
      <c r="C13" s="30">
        <v>26000000</v>
      </c>
      <c r="D13" s="92">
        <v>40220</v>
      </c>
      <c r="E13" s="29">
        <f t="shared" ref="E13" si="0">YEAR(D13)</f>
        <v>2010</v>
      </c>
      <c r="F13" s="29">
        <f t="shared" ref="F13" si="1">ROUNDUP(MONTH(D13)/3,0)</f>
        <v>1</v>
      </c>
      <c r="G13" s="32">
        <f t="shared" ref="G13" si="2">D13-DATE(YEAR(D13)-1,12,31)</f>
        <v>42</v>
      </c>
      <c r="H13" s="32">
        <f t="shared" ref="H13" si="3">D13-EOMONTH(DATE(E13,F13*3,1),-3)</f>
        <v>42</v>
      </c>
      <c r="I13" s="32">
        <v>1.5660700000000001</v>
      </c>
      <c r="K13" t="str">
        <f t="shared" ref="K13:K18" si="4">B13</f>
        <v>Capital call 1</v>
      </c>
      <c r="L13" s="13">
        <f t="shared" ref="L13:L18" si="5">C13*I13</f>
        <v>40717820</v>
      </c>
      <c r="M13"/>
    </row>
    <row r="14" spans="1:16" s="29" customFormat="1" x14ac:dyDescent="0.2">
      <c r="A14" s="36"/>
      <c r="B14" s="29" t="s">
        <v>90</v>
      </c>
      <c r="C14" s="30">
        <v>39000000</v>
      </c>
      <c r="D14" s="92">
        <v>40305</v>
      </c>
      <c r="E14" s="29">
        <f t="shared" ref="E14" si="6">YEAR(D14)</f>
        <v>2010</v>
      </c>
      <c r="F14" s="29">
        <f t="shared" ref="F14" si="7">ROUNDUP(MONTH(D14)/3,0)</f>
        <v>2</v>
      </c>
      <c r="G14" s="32">
        <f t="shared" ref="G14" si="8">D14-DATE(YEAR(D14)-1,12,31)</f>
        <v>127</v>
      </c>
      <c r="H14" s="32">
        <f t="shared" ref="H14" si="9">D14-EOMONTH(DATE(E14,F14*3,1),-3)</f>
        <v>37</v>
      </c>
      <c r="I14" s="32">
        <v>1.4997199999999999</v>
      </c>
      <c r="K14" t="str">
        <f t="shared" si="4"/>
        <v>Capital call 2</v>
      </c>
      <c r="L14" s="13">
        <f t="shared" si="5"/>
        <v>58489080</v>
      </c>
      <c r="M14"/>
    </row>
    <row r="15" spans="1:16" s="29" customFormat="1" x14ac:dyDescent="0.2">
      <c r="A15" s="36"/>
      <c r="B15" s="29" t="s">
        <v>94</v>
      </c>
      <c r="C15" s="30">
        <v>25000000</v>
      </c>
      <c r="D15" s="92">
        <v>40305</v>
      </c>
      <c r="E15" s="29">
        <f t="shared" ref="E15" si="10">YEAR(D15)</f>
        <v>2010</v>
      </c>
      <c r="F15" s="29">
        <f t="shared" ref="F15" si="11">ROUNDUP(MONTH(D15)/3,0)</f>
        <v>2</v>
      </c>
      <c r="G15" s="32">
        <f t="shared" ref="G15" si="12">D15-DATE(YEAR(D15)-1,12,31)</f>
        <v>127</v>
      </c>
      <c r="H15" s="32">
        <f t="shared" ref="H15" si="13">D15-EOMONTH(DATE(E15,F15*3,1),-3)</f>
        <v>37</v>
      </c>
      <c r="I15" s="32">
        <f>I14</f>
        <v>1.4997199999999999</v>
      </c>
      <c r="K15" t="str">
        <f t="shared" si="4"/>
        <v>Capital call 3</v>
      </c>
      <c r="L15" s="13">
        <f t="shared" si="5"/>
        <v>37493000</v>
      </c>
      <c r="M15"/>
    </row>
    <row r="16" spans="1:16" s="29" customFormat="1" x14ac:dyDescent="0.2">
      <c r="A16" s="36"/>
      <c r="B16" s="29" t="s">
        <v>98</v>
      </c>
      <c r="C16" s="30">
        <v>6000000</v>
      </c>
      <c r="D16" s="92">
        <v>40325</v>
      </c>
      <c r="E16" s="29">
        <f t="shared" ref="E16" si="14">YEAR(D16)</f>
        <v>2010</v>
      </c>
      <c r="F16" s="29">
        <f t="shared" ref="F16" si="15">ROUNDUP(MONTH(D16)/3,0)</f>
        <v>2</v>
      </c>
      <c r="G16" s="32">
        <f t="shared" ref="G16" si="16">D16-DATE(YEAR(D16)-1,12,31)</f>
        <v>147</v>
      </c>
      <c r="H16" s="32">
        <f t="shared" ref="H16" si="17">D16-EOMONTH(DATE(E16,F16*3,1),-3)</f>
        <v>57</v>
      </c>
      <c r="I16" s="32">
        <v>1.4398899999999999</v>
      </c>
      <c r="K16" t="str">
        <f t="shared" si="4"/>
        <v>Distribution 1</v>
      </c>
      <c r="L16" s="13">
        <f t="shared" si="5"/>
        <v>8639340</v>
      </c>
      <c r="M16"/>
    </row>
    <row r="17" spans="1:18" s="29" customFormat="1" x14ac:dyDescent="0.2">
      <c r="A17" s="36"/>
      <c r="B17" s="29" t="s">
        <v>101</v>
      </c>
      <c r="C17" s="30">
        <v>6000000</v>
      </c>
      <c r="D17" s="92">
        <v>40484</v>
      </c>
      <c r="E17" s="29">
        <f t="shared" ref="E17" si="18">YEAR(D17)</f>
        <v>2010</v>
      </c>
      <c r="F17" s="29">
        <f t="shared" ref="F17" si="19">ROUNDUP(MONTH(D17)/3,0)</f>
        <v>4</v>
      </c>
      <c r="G17" s="32">
        <f t="shared" ref="G17" si="20">D17-DATE(YEAR(D17)-1,12,31)</f>
        <v>306</v>
      </c>
      <c r="H17" s="32">
        <f t="shared" ref="H17" si="21">D17-EOMONTH(DATE(E17,F17*3,1),-3)</f>
        <v>33</v>
      </c>
      <c r="I17" s="32">
        <v>1.6050899999999999</v>
      </c>
      <c r="K17" t="str">
        <f t="shared" si="4"/>
        <v>Distribution 2</v>
      </c>
      <c r="L17" s="13">
        <f t="shared" si="5"/>
        <v>9630540</v>
      </c>
      <c r="M17"/>
    </row>
    <row r="18" spans="1:18" s="29" customFormat="1" x14ac:dyDescent="0.2">
      <c r="A18" s="36"/>
      <c r="B18" s="29" t="s">
        <v>104</v>
      </c>
      <c r="C18" s="30">
        <v>35000000</v>
      </c>
      <c r="D18" s="92">
        <v>40508</v>
      </c>
      <c r="E18" s="29">
        <f t="shared" ref="E18" si="22">YEAR(D18)</f>
        <v>2010</v>
      </c>
      <c r="F18" s="29">
        <f t="shared" ref="F18" si="23">ROUNDUP(MONTH(D18)/3,0)</f>
        <v>4</v>
      </c>
      <c r="G18" s="32">
        <f t="shared" ref="G18" si="24">D18-DATE(YEAR(D18)-1,12,31)</f>
        <v>330</v>
      </c>
      <c r="H18" s="32">
        <f t="shared" ref="H18" si="25">D18-EOMONTH(DATE(E18,F18*3,1),-3)</f>
        <v>57</v>
      </c>
      <c r="I18" s="32">
        <v>1.57656</v>
      </c>
      <c r="K18" t="str">
        <f t="shared" si="4"/>
        <v>Capital call 4</v>
      </c>
      <c r="L18" s="13">
        <f t="shared" si="5"/>
        <v>55179600</v>
      </c>
      <c r="M18"/>
    </row>
    <row r="19" spans="1:18" s="29" customFormat="1" x14ac:dyDescent="0.2">
      <c r="A19" s="36"/>
      <c r="B19" s="29" t="s">
        <v>107</v>
      </c>
      <c r="C19" s="30">
        <v>7000000</v>
      </c>
      <c r="D19" s="92">
        <v>40690</v>
      </c>
      <c r="E19" s="29">
        <f t="shared" ref="E19:E21" si="26">YEAR(D19)</f>
        <v>2011</v>
      </c>
      <c r="F19" s="29">
        <f t="shared" ref="F19:F21" si="27">ROUNDUP(MONTH(D19)/3,0)</f>
        <v>2</v>
      </c>
      <c r="G19" s="32">
        <f t="shared" ref="G19:G21" si="28">D19-DATE(YEAR(D19)-1,12,31)</f>
        <v>147</v>
      </c>
      <c r="H19" s="32">
        <f t="shared" ref="H19:H21" si="29">D19-EOMONTH(DATE(E19,F19*3,1),-3)</f>
        <v>57</v>
      </c>
      <c r="I19" s="32">
        <v>1.6325000000000001</v>
      </c>
      <c r="K19" t="str">
        <f>B19</f>
        <v>Distribution 3</v>
      </c>
      <c r="L19" s="13">
        <f>C19*I19</f>
        <v>11427500</v>
      </c>
      <c r="M19"/>
    </row>
    <row r="20" spans="1:18" s="29" customFormat="1" x14ac:dyDescent="0.2">
      <c r="B20" s="29" t="s">
        <v>108</v>
      </c>
      <c r="C20" s="30">
        <v>25000000</v>
      </c>
      <c r="D20" s="92">
        <v>40808</v>
      </c>
      <c r="E20" s="29">
        <f t="shared" si="26"/>
        <v>2011</v>
      </c>
      <c r="F20" s="29">
        <f t="shared" si="27"/>
        <v>3</v>
      </c>
      <c r="G20" s="32">
        <f t="shared" si="28"/>
        <v>265</v>
      </c>
      <c r="H20" s="32">
        <f t="shared" si="29"/>
        <v>84</v>
      </c>
      <c r="I20" s="32">
        <v>1.5670999999999999</v>
      </c>
      <c r="K20" t="str">
        <f t="shared" ref="K20:K25" si="30">B20</f>
        <v>Capital call 5</v>
      </c>
      <c r="L20" s="13">
        <f t="shared" ref="L20:L25" si="31">C20*I20</f>
        <v>39177500</v>
      </c>
      <c r="M20"/>
    </row>
    <row r="21" spans="1:18" s="29" customFormat="1" x14ac:dyDescent="0.2">
      <c r="A21" s="36"/>
      <c r="B21" s="29" t="s">
        <v>109</v>
      </c>
      <c r="C21" s="30">
        <v>7000000</v>
      </c>
      <c r="D21" s="92">
        <v>40855</v>
      </c>
      <c r="E21" s="29">
        <f t="shared" si="26"/>
        <v>2011</v>
      </c>
      <c r="F21" s="29">
        <f t="shared" si="27"/>
        <v>4</v>
      </c>
      <c r="G21" s="32">
        <f t="shared" si="28"/>
        <v>312</v>
      </c>
      <c r="H21" s="32">
        <f t="shared" si="29"/>
        <v>39</v>
      </c>
      <c r="I21" s="32">
        <v>1.603</v>
      </c>
      <c r="K21" t="str">
        <f t="shared" si="30"/>
        <v>Distribution 4</v>
      </c>
      <c r="L21" s="13">
        <f t="shared" si="31"/>
        <v>11221000</v>
      </c>
      <c r="M21"/>
    </row>
    <row r="22" spans="1:18" s="29" customFormat="1" x14ac:dyDescent="0.2">
      <c r="A22" s="36"/>
      <c r="B22" s="29" t="s">
        <v>111</v>
      </c>
      <c r="C22" s="30">
        <v>2000000</v>
      </c>
      <c r="D22" s="92">
        <v>40939</v>
      </c>
      <c r="E22" s="29">
        <f t="shared" ref="E22:E25" si="32">YEAR(D22)</f>
        <v>2012</v>
      </c>
      <c r="F22" s="29">
        <f t="shared" ref="F22:F25" si="33">ROUNDUP(MONTH(D22)/3,0)</f>
        <v>1</v>
      </c>
      <c r="G22" s="32">
        <f t="shared" ref="G22:G25" si="34">D22-DATE(YEAR(D22)-1,12,31)</f>
        <v>31</v>
      </c>
      <c r="H22" s="32">
        <f t="shared" ref="H22:H25" si="35">D22-EOMONTH(DATE(E22,F22*3,1),-3)</f>
        <v>31</v>
      </c>
      <c r="I22" s="32">
        <v>1.56975</v>
      </c>
      <c r="K22" t="str">
        <f t="shared" si="30"/>
        <v>Redemption 1</v>
      </c>
      <c r="L22" s="13">
        <f t="shared" si="31"/>
        <v>3139500</v>
      </c>
      <c r="M22"/>
    </row>
    <row r="23" spans="1:18" s="29" customFormat="1" x14ac:dyDescent="0.2">
      <c r="A23" s="36"/>
      <c r="B23" s="29" t="s">
        <v>112</v>
      </c>
      <c r="C23" s="30">
        <v>7000000</v>
      </c>
      <c r="D23" s="92">
        <v>41057</v>
      </c>
      <c r="E23" s="29">
        <f t="shared" si="32"/>
        <v>2012</v>
      </c>
      <c r="F23" s="29">
        <f t="shared" si="33"/>
        <v>2</v>
      </c>
      <c r="G23" s="32">
        <f t="shared" si="34"/>
        <v>149</v>
      </c>
      <c r="H23" s="32">
        <f t="shared" si="35"/>
        <v>58</v>
      </c>
      <c r="I23" s="32">
        <v>1.56718</v>
      </c>
      <c r="K23" t="str">
        <f t="shared" si="30"/>
        <v>Distribution 5</v>
      </c>
      <c r="L23" s="13">
        <f t="shared" si="31"/>
        <v>10970260</v>
      </c>
      <c r="M23"/>
    </row>
    <row r="24" spans="1:18" s="29" customFormat="1" x14ac:dyDescent="0.2">
      <c r="A24" s="36"/>
      <c r="B24" s="29" t="s">
        <v>113</v>
      </c>
      <c r="C24" s="30">
        <v>23000000</v>
      </c>
      <c r="D24" s="92">
        <v>41059</v>
      </c>
      <c r="E24" s="29">
        <f t="shared" si="32"/>
        <v>2012</v>
      </c>
      <c r="F24" s="29">
        <f t="shared" si="33"/>
        <v>2</v>
      </c>
      <c r="G24" s="32">
        <f t="shared" si="34"/>
        <v>151</v>
      </c>
      <c r="H24" s="32">
        <f t="shared" si="35"/>
        <v>60</v>
      </c>
      <c r="I24" s="32">
        <v>1.5668</v>
      </c>
      <c r="K24" t="str">
        <f t="shared" si="30"/>
        <v>Capital call 6</v>
      </c>
      <c r="L24" s="13">
        <f t="shared" si="31"/>
        <v>36036400</v>
      </c>
      <c r="M24"/>
    </row>
    <row r="25" spans="1:18" s="29" customFormat="1" x14ac:dyDescent="0.2">
      <c r="A25" s="36"/>
      <c r="B25" s="29" t="s">
        <v>114</v>
      </c>
      <c r="C25" s="30">
        <v>8000000</v>
      </c>
      <c r="D25" s="92">
        <v>41219</v>
      </c>
      <c r="E25" s="29">
        <f t="shared" si="32"/>
        <v>2012</v>
      </c>
      <c r="F25" s="29">
        <f t="shared" si="33"/>
        <v>4</v>
      </c>
      <c r="G25" s="32">
        <f t="shared" si="34"/>
        <v>311</v>
      </c>
      <c r="H25" s="32">
        <f t="shared" si="35"/>
        <v>37</v>
      </c>
      <c r="I25" s="32">
        <v>1.59981</v>
      </c>
      <c r="K25" t="str">
        <f t="shared" si="30"/>
        <v>Distribution 6</v>
      </c>
      <c r="L25" s="13">
        <f t="shared" si="31"/>
        <v>12798480</v>
      </c>
      <c r="M25"/>
    </row>
    <row r="26" spans="1:18" s="29" customFormat="1" x14ac:dyDescent="0.2">
      <c r="A26" s="36"/>
      <c r="C26" s="30"/>
      <c r="D26" s="92"/>
      <c r="G26" s="32"/>
      <c r="H26" s="32"/>
      <c r="I26" s="32"/>
      <c r="K26"/>
      <c r="L26" s="13"/>
      <c r="M26"/>
    </row>
    <row r="27" spans="1:18" x14ac:dyDescent="0.2">
      <c r="A27" s="36"/>
      <c r="B27" s="29"/>
      <c r="C27" s="29"/>
      <c r="D27" s="30"/>
      <c r="E27" s="29"/>
      <c r="F27" s="29"/>
      <c r="G27" s="29"/>
      <c r="H27" s="29"/>
      <c r="I27" s="29"/>
    </row>
    <row r="28" spans="1:18" x14ac:dyDescent="0.2">
      <c r="B28" s="10"/>
    </row>
    <row r="29" spans="1:18" x14ac:dyDescent="0.2">
      <c r="B29" s="10"/>
    </row>
    <row r="30" spans="1:18" x14ac:dyDescent="0.2">
      <c r="B30" s="21" t="s">
        <v>115</v>
      </c>
      <c r="C30" s="22" t="str">
        <f>_xlfn.CONCAT("Convert ",B13," to ",$C$5)</f>
        <v>Convert Capital call 1 to GBP</v>
      </c>
      <c r="D30" s="20"/>
      <c r="E30" s="20"/>
      <c r="F30" s="12"/>
      <c r="H30" s="21" t="s">
        <v>115</v>
      </c>
      <c r="I30" s="22" t="str">
        <f>_xlfn.CONCAT("Convert ",B19," to ",$C$5)</f>
        <v>Convert Distribution 3 to GBP</v>
      </c>
      <c r="J30" s="20"/>
      <c r="K30" s="20"/>
      <c r="L30" s="12"/>
      <c r="N30" s="21" t="s">
        <v>115</v>
      </c>
      <c r="O30" s="22" t="str">
        <f>_xlfn.CONCAT("Convert ",B21," to ",$C$5)</f>
        <v>Convert Distribution 4 to GBP</v>
      </c>
      <c r="P30" s="20"/>
      <c r="Q30" s="20"/>
      <c r="R30" s="12"/>
    </row>
    <row r="31" spans="1:18" x14ac:dyDescent="0.2">
      <c r="B31" s="12"/>
      <c r="C31" s="12"/>
      <c r="D31" s="12"/>
      <c r="E31" s="12"/>
      <c r="F31" s="12"/>
      <c r="H31" s="12"/>
      <c r="I31" s="12"/>
      <c r="J31" s="12"/>
      <c r="K31" s="12"/>
      <c r="L31" s="12"/>
      <c r="N31" s="12"/>
      <c r="O31" s="12"/>
      <c r="P31" s="12"/>
      <c r="Q31" s="12"/>
      <c r="R31" s="12"/>
    </row>
    <row r="32" spans="1:18" x14ac:dyDescent="0.2">
      <c r="B32" s="93" t="str">
        <f>B13</f>
        <v>Capital call 1</v>
      </c>
      <c r="C32" s="12" t="s">
        <v>117</v>
      </c>
      <c r="D32" s="52" t="str">
        <f>_xlfn.CONCAT(TEXT(C13,"0,0")," * ",I13)</f>
        <v>26000000,0 * 1,56607</v>
      </c>
      <c r="E32" s="12"/>
      <c r="F32" s="12"/>
      <c r="H32" s="93" t="str">
        <f>B19</f>
        <v>Distribution 3</v>
      </c>
      <c r="I32" s="12" t="s">
        <v>117</v>
      </c>
      <c r="J32" s="52" t="str">
        <f>_xlfn.CONCAT(TEXT(C19,"0,0")," * ",I19)</f>
        <v>7000000,0 * 1,6325</v>
      </c>
      <c r="K32" s="12"/>
      <c r="L32" s="12"/>
      <c r="N32" s="93" t="str">
        <f>B21</f>
        <v>Distribution 4</v>
      </c>
      <c r="O32" s="12" t="s">
        <v>117</v>
      </c>
      <c r="P32" s="52" t="str">
        <f>_xlfn.CONCAT(TEXT(C21,"0,0")," * ",I21)</f>
        <v>7000000,0 * 1,603</v>
      </c>
      <c r="Q32" s="12"/>
      <c r="R32" s="12"/>
    </row>
    <row r="33" spans="2:18" x14ac:dyDescent="0.2">
      <c r="B33" s="12"/>
      <c r="C33" s="12"/>
      <c r="D33" s="12"/>
      <c r="E33" s="12"/>
      <c r="F33" s="12"/>
      <c r="H33" s="12"/>
      <c r="I33" s="12"/>
      <c r="J33" s="12"/>
      <c r="K33" s="12"/>
      <c r="L33" s="12"/>
      <c r="N33" s="12"/>
      <c r="O33" s="12"/>
      <c r="P33" s="12"/>
      <c r="Q33" s="12"/>
      <c r="R33" s="12"/>
    </row>
    <row r="34" spans="2:18" x14ac:dyDescent="0.2">
      <c r="B34" s="12"/>
      <c r="C34" s="12" t="s">
        <v>117</v>
      </c>
      <c r="D34" s="116">
        <f>C13*I13</f>
        <v>40717820</v>
      </c>
      <c r="E34" s="12"/>
      <c r="F34" s="12"/>
      <c r="H34" s="12"/>
      <c r="I34" s="12" t="s">
        <v>117</v>
      </c>
      <c r="J34" s="116">
        <f>C19*I19</f>
        <v>11427500</v>
      </c>
      <c r="K34" s="12"/>
      <c r="L34" s="12"/>
      <c r="N34" s="12"/>
      <c r="O34" s="12" t="s">
        <v>117</v>
      </c>
      <c r="P34" s="116">
        <f>C21*I21</f>
        <v>11221000</v>
      </c>
      <c r="Q34" s="12"/>
      <c r="R34" s="12"/>
    </row>
    <row r="35" spans="2:18" x14ac:dyDescent="0.2">
      <c r="B35" s="12"/>
      <c r="C35" s="12"/>
      <c r="D35" s="12"/>
      <c r="E35" s="12"/>
      <c r="F35" s="12"/>
      <c r="H35" s="12"/>
      <c r="I35" s="12"/>
      <c r="J35" s="12"/>
      <c r="K35" s="12"/>
      <c r="L35" s="12"/>
      <c r="N35" s="12"/>
      <c r="O35" s="12"/>
      <c r="P35" s="12"/>
      <c r="Q35" s="12"/>
      <c r="R35" s="12"/>
    </row>
    <row r="38" spans="2:18" x14ac:dyDescent="0.2">
      <c r="B38" s="21" t="s">
        <v>115</v>
      </c>
      <c r="C38" s="22" t="str">
        <f>_xlfn.CONCAT("Convert ",B14," to ",$C$5)</f>
        <v>Convert Capital call 2 to GBP</v>
      </c>
      <c r="D38" s="20"/>
      <c r="E38" s="20"/>
      <c r="F38" s="12"/>
      <c r="H38" s="21" t="s">
        <v>115</v>
      </c>
      <c r="I38" s="22" t="str">
        <f>_xlfn.CONCAT("Convert ",B20," to ",$C$5)</f>
        <v>Convert Capital call 5 to GBP</v>
      </c>
      <c r="J38" s="20"/>
      <c r="K38" s="20"/>
      <c r="L38" s="12"/>
      <c r="N38" s="21" t="s">
        <v>115</v>
      </c>
      <c r="O38" s="22" t="str">
        <f>_xlfn.CONCAT("Convert ",B22," to ",$C$5)</f>
        <v>Convert Redemption 1 to GBP</v>
      </c>
      <c r="P38" s="20"/>
      <c r="Q38" s="20"/>
      <c r="R38" s="12"/>
    </row>
    <row r="39" spans="2:18" x14ac:dyDescent="0.2">
      <c r="B39" s="12"/>
      <c r="C39" s="12"/>
      <c r="D39" s="12"/>
      <c r="E39" s="12"/>
      <c r="F39" s="12"/>
      <c r="H39" s="12"/>
      <c r="I39" s="12"/>
      <c r="J39" s="12"/>
      <c r="K39" s="12"/>
      <c r="L39" s="12"/>
      <c r="N39" s="12"/>
      <c r="O39" s="12"/>
      <c r="P39" s="12"/>
      <c r="Q39" s="12"/>
      <c r="R39" s="12"/>
    </row>
    <row r="40" spans="2:18" x14ac:dyDescent="0.2">
      <c r="B40" s="93" t="str">
        <f>B14</f>
        <v>Capital call 2</v>
      </c>
      <c r="C40" s="12" t="s">
        <v>117</v>
      </c>
      <c r="D40" s="52" t="str">
        <f>_xlfn.CONCAT(TEXT(C14,"0,0")," * ",I14)</f>
        <v>39000000,0 * 1,49972</v>
      </c>
      <c r="E40" s="12"/>
      <c r="F40" s="12"/>
      <c r="H40" s="93" t="str">
        <f>B20</f>
        <v>Capital call 5</v>
      </c>
      <c r="I40" s="12" t="s">
        <v>117</v>
      </c>
      <c r="J40" s="52" t="str">
        <f>_xlfn.CONCAT(TEXT(C20,"0,0")," * ",I20)</f>
        <v>25000000,0 * 1,5671</v>
      </c>
      <c r="K40" s="12"/>
      <c r="L40" s="12"/>
      <c r="N40" s="93" t="str">
        <f>B22</f>
        <v>Redemption 1</v>
      </c>
      <c r="O40" s="12" t="s">
        <v>117</v>
      </c>
      <c r="P40" s="52" t="str">
        <f>_xlfn.CONCAT(TEXT(C22,"0,0")," * ",I22)</f>
        <v>2000000,0 * 1,56975</v>
      </c>
      <c r="Q40" s="12"/>
      <c r="R40" s="12"/>
    </row>
    <row r="41" spans="2:18" x14ac:dyDescent="0.2">
      <c r="B41" s="12"/>
      <c r="C41" s="12"/>
      <c r="D41" s="12"/>
      <c r="E41" s="12"/>
      <c r="F41" s="12"/>
      <c r="H41" s="12"/>
      <c r="I41" s="12"/>
      <c r="J41" s="12"/>
      <c r="K41" s="12"/>
      <c r="L41" s="12"/>
      <c r="N41" s="12"/>
      <c r="O41" s="12"/>
      <c r="P41" s="12"/>
      <c r="Q41" s="12"/>
      <c r="R41" s="12"/>
    </row>
    <row r="42" spans="2:18" x14ac:dyDescent="0.2">
      <c r="B42" s="12"/>
      <c r="C42" s="12" t="s">
        <v>117</v>
      </c>
      <c r="D42" s="116">
        <f>C14*I14</f>
        <v>58489080</v>
      </c>
      <c r="E42" s="12"/>
      <c r="F42" s="12"/>
      <c r="H42" s="12"/>
      <c r="I42" s="12" t="s">
        <v>117</v>
      </c>
      <c r="J42" s="116">
        <f>C20*I20</f>
        <v>39177500</v>
      </c>
      <c r="K42" s="12"/>
      <c r="L42" s="12"/>
      <c r="N42" s="12"/>
      <c r="O42" s="12" t="s">
        <v>117</v>
      </c>
      <c r="P42" s="116">
        <f>C22*I22</f>
        <v>3139500</v>
      </c>
      <c r="Q42" s="12"/>
      <c r="R42" s="12"/>
    </row>
    <row r="43" spans="2:18" x14ac:dyDescent="0.2">
      <c r="B43" s="12"/>
      <c r="C43" s="12"/>
      <c r="D43" s="12"/>
      <c r="E43" s="12"/>
      <c r="F43" s="12"/>
      <c r="H43" s="12"/>
      <c r="I43" s="12"/>
      <c r="J43" s="12"/>
      <c r="K43" s="12"/>
      <c r="L43" s="12"/>
      <c r="N43" s="12"/>
      <c r="O43" s="12"/>
      <c r="P43" s="12"/>
      <c r="Q43" s="12"/>
      <c r="R43" s="12"/>
    </row>
    <row r="46" spans="2:18" x14ac:dyDescent="0.2">
      <c r="B46" s="21" t="s">
        <v>115</v>
      </c>
      <c r="C46" s="22" t="str">
        <f>_xlfn.CONCAT("Convert ",B15," to ",$C$5)</f>
        <v>Convert Capital call 3 to GBP</v>
      </c>
      <c r="D46" s="20"/>
      <c r="E46" s="20"/>
      <c r="F46" s="12"/>
      <c r="H46" s="21" t="s">
        <v>115</v>
      </c>
      <c r="I46" s="22" t="str">
        <f>_xlfn.CONCAT("Convert ",B21," to ",$C$5)</f>
        <v>Convert Distribution 4 to GBP</v>
      </c>
      <c r="J46" s="20"/>
      <c r="K46" s="20"/>
      <c r="L46" s="12"/>
      <c r="N46" s="21" t="s">
        <v>115</v>
      </c>
      <c r="O46" s="22" t="str">
        <f>_xlfn.CONCAT("Convert ",B23," to ",$C$5)</f>
        <v>Convert Distribution 5 to GBP</v>
      </c>
      <c r="P46" s="20"/>
      <c r="Q46" s="20"/>
      <c r="R46" s="12"/>
    </row>
    <row r="47" spans="2:18" x14ac:dyDescent="0.2">
      <c r="B47" s="12"/>
      <c r="C47" s="12"/>
      <c r="D47" s="12"/>
      <c r="E47" s="12"/>
      <c r="F47" s="12"/>
      <c r="H47" s="12"/>
      <c r="I47" s="12"/>
      <c r="J47" s="12"/>
      <c r="K47" s="12"/>
      <c r="L47" s="12"/>
      <c r="N47" s="12"/>
      <c r="O47" s="12"/>
      <c r="P47" s="12"/>
      <c r="Q47" s="12"/>
      <c r="R47" s="12"/>
    </row>
    <row r="48" spans="2:18" x14ac:dyDescent="0.2">
      <c r="B48" s="93" t="str">
        <f>B15</f>
        <v>Capital call 3</v>
      </c>
      <c r="C48" s="12" t="s">
        <v>117</v>
      </c>
      <c r="D48" s="52" t="str">
        <f>_xlfn.CONCAT(TEXT(C15,"0,0")," * ",I15)</f>
        <v>25000000,0 * 1,49972</v>
      </c>
      <c r="E48" s="12"/>
      <c r="F48" s="12"/>
      <c r="H48" s="93" t="str">
        <f>B21</f>
        <v>Distribution 4</v>
      </c>
      <c r="I48" s="12" t="s">
        <v>117</v>
      </c>
      <c r="J48" s="52" t="str">
        <f>_xlfn.CONCAT(TEXT(C21,"0,0")," * ",I21)</f>
        <v>7000000,0 * 1,603</v>
      </c>
      <c r="K48" s="12"/>
      <c r="L48" s="12"/>
      <c r="N48" s="93" t="str">
        <f>B23</f>
        <v>Distribution 5</v>
      </c>
      <c r="O48" s="12" t="s">
        <v>117</v>
      </c>
      <c r="P48" s="52" t="str">
        <f>_xlfn.CONCAT(TEXT(C23,"0,0")," * ",I23)</f>
        <v>7000000,0 * 1,56718</v>
      </c>
      <c r="Q48" s="12"/>
      <c r="R48" s="12"/>
    </row>
    <row r="49" spans="2:18" x14ac:dyDescent="0.2">
      <c r="B49" s="12"/>
      <c r="C49" s="12"/>
      <c r="D49" s="12"/>
      <c r="E49" s="12"/>
      <c r="F49" s="12"/>
      <c r="H49" s="12"/>
      <c r="I49" s="12"/>
      <c r="J49" s="12"/>
      <c r="K49" s="12"/>
      <c r="L49" s="12"/>
      <c r="N49" s="12"/>
      <c r="O49" s="12"/>
      <c r="P49" s="12"/>
      <c r="Q49" s="12"/>
      <c r="R49" s="12"/>
    </row>
    <row r="50" spans="2:18" x14ac:dyDescent="0.2">
      <c r="B50" s="12"/>
      <c r="C50" s="12" t="s">
        <v>117</v>
      </c>
      <c r="D50" s="116">
        <f>C15*I15</f>
        <v>37493000</v>
      </c>
      <c r="E50" s="12"/>
      <c r="F50" s="12"/>
      <c r="H50" s="12"/>
      <c r="I50" s="12" t="s">
        <v>117</v>
      </c>
      <c r="J50" s="116">
        <f>C21*I21</f>
        <v>11221000</v>
      </c>
      <c r="K50" s="12"/>
      <c r="L50" s="12"/>
      <c r="N50" s="12"/>
      <c r="O50" s="12" t="s">
        <v>117</v>
      </c>
      <c r="P50" s="116">
        <f>C23*I23</f>
        <v>10970260</v>
      </c>
      <c r="Q50" s="12"/>
      <c r="R50" s="12"/>
    </row>
    <row r="51" spans="2:18" x14ac:dyDescent="0.2">
      <c r="B51" s="12"/>
      <c r="C51" s="12"/>
      <c r="D51" s="12"/>
      <c r="E51" s="12"/>
      <c r="F51" s="12"/>
      <c r="H51" s="12"/>
      <c r="I51" s="12"/>
      <c r="J51" s="12"/>
      <c r="K51" s="12"/>
      <c r="L51" s="12"/>
      <c r="N51" s="12"/>
      <c r="O51" s="12"/>
      <c r="P51" s="12"/>
      <c r="Q51" s="12"/>
      <c r="R51" s="12"/>
    </row>
    <row r="54" spans="2:18" x14ac:dyDescent="0.2">
      <c r="B54" s="21" t="s">
        <v>115</v>
      </c>
      <c r="C54" s="22" t="str">
        <f>_xlfn.CONCAT("Convert ",B16," to ",$C$5)</f>
        <v>Convert Distribution 1 to GBP</v>
      </c>
      <c r="D54" s="20"/>
      <c r="E54" s="20"/>
      <c r="F54" s="12"/>
      <c r="N54" s="21" t="s">
        <v>115</v>
      </c>
      <c r="O54" s="22" t="str">
        <f>_xlfn.CONCAT("Convert ",B24," to ",$C$5)</f>
        <v>Convert Capital call 6 to GBP</v>
      </c>
      <c r="P54" s="20"/>
      <c r="Q54" s="20"/>
      <c r="R54" s="12"/>
    </row>
    <row r="55" spans="2:18" x14ac:dyDescent="0.2">
      <c r="B55" s="12"/>
      <c r="C55" s="12"/>
      <c r="D55" s="12"/>
      <c r="E55" s="12"/>
      <c r="F55" s="12"/>
      <c r="N55" s="12"/>
      <c r="O55" s="12"/>
      <c r="P55" s="12"/>
      <c r="Q55" s="12"/>
      <c r="R55" s="12"/>
    </row>
    <row r="56" spans="2:18" x14ac:dyDescent="0.2">
      <c r="B56" s="93" t="str">
        <f>B16</f>
        <v>Distribution 1</v>
      </c>
      <c r="C56" s="12" t="s">
        <v>117</v>
      </c>
      <c r="D56" s="52" t="str">
        <f>_xlfn.CONCAT(TEXT(C16,"0,0")," * ",I16)</f>
        <v>6000000,0 * 1,43989</v>
      </c>
      <c r="E56" s="12"/>
      <c r="F56" s="12"/>
      <c r="N56" s="93" t="str">
        <f>B24</f>
        <v>Capital call 6</v>
      </c>
      <c r="O56" s="12" t="s">
        <v>117</v>
      </c>
      <c r="P56" s="52" t="str">
        <f>_xlfn.CONCAT(TEXT(C24,"0,0")," * ",I24)</f>
        <v>23000000,0 * 1,5668</v>
      </c>
      <c r="Q56" s="12"/>
      <c r="R56" s="12"/>
    </row>
    <row r="57" spans="2:18" x14ac:dyDescent="0.2">
      <c r="B57" s="12"/>
      <c r="C57" s="12"/>
      <c r="D57" s="12"/>
      <c r="E57" s="12"/>
      <c r="F57" s="12"/>
      <c r="N57" s="12"/>
      <c r="O57" s="12"/>
      <c r="P57" s="12"/>
      <c r="Q57" s="12"/>
      <c r="R57" s="12"/>
    </row>
    <row r="58" spans="2:18" x14ac:dyDescent="0.2">
      <c r="B58" s="12"/>
      <c r="C58" s="12" t="s">
        <v>117</v>
      </c>
      <c r="D58" s="116">
        <f>C16*I16</f>
        <v>8639340</v>
      </c>
      <c r="E58" s="12"/>
      <c r="F58" s="12"/>
      <c r="N58" s="12"/>
      <c r="O58" s="12" t="s">
        <v>117</v>
      </c>
      <c r="P58" s="116">
        <f>C24*I24</f>
        <v>36036400</v>
      </c>
      <c r="Q58" s="12"/>
      <c r="R58" s="12"/>
    </row>
    <row r="59" spans="2:18" x14ac:dyDescent="0.2">
      <c r="B59" s="12"/>
      <c r="C59" s="12"/>
      <c r="D59" s="12"/>
      <c r="E59" s="12"/>
      <c r="F59" s="12"/>
      <c r="N59" s="12"/>
      <c r="O59" s="12"/>
      <c r="P59" s="12"/>
      <c r="Q59" s="12"/>
      <c r="R59" s="12"/>
    </row>
    <row r="62" spans="2:18" x14ac:dyDescent="0.2">
      <c r="B62" s="21" t="s">
        <v>115</v>
      </c>
      <c r="C62" s="22" t="str">
        <f>_xlfn.CONCAT("Convert ",B17," to ",$C$5)</f>
        <v>Convert Distribution 2 to GBP</v>
      </c>
      <c r="D62" s="20"/>
      <c r="E62" s="20"/>
      <c r="F62" s="12"/>
    </row>
    <row r="63" spans="2:18" x14ac:dyDescent="0.2">
      <c r="B63" s="12"/>
      <c r="C63" s="12"/>
      <c r="D63" s="12"/>
      <c r="E63" s="12"/>
      <c r="F63" s="12"/>
    </row>
    <row r="64" spans="2:18" x14ac:dyDescent="0.2">
      <c r="B64" s="93" t="str">
        <f>B17</f>
        <v>Distribution 2</v>
      </c>
      <c r="C64" s="12" t="s">
        <v>117</v>
      </c>
      <c r="D64" s="52" t="str">
        <f>_xlfn.CONCAT(TEXT(C17,"0,0")," * ",I17)</f>
        <v>6000000,0 * 1,60509</v>
      </c>
      <c r="E64" s="12"/>
      <c r="F64" s="12"/>
    </row>
    <row r="65" spans="2:6" x14ac:dyDescent="0.2">
      <c r="B65" s="12"/>
      <c r="C65" s="12"/>
      <c r="D65" s="12"/>
      <c r="E65" s="12"/>
      <c r="F65" s="12"/>
    </row>
    <row r="66" spans="2:6" x14ac:dyDescent="0.2">
      <c r="B66" s="12"/>
      <c r="C66" s="12" t="s">
        <v>117</v>
      </c>
      <c r="D66" s="116">
        <f>C17*I17</f>
        <v>9630540</v>
      </c>
      <c r="E66" s="12"/>
      <c r="F66" s="12"/>
    </row>
    <row r="67" spans="2:6" x14ac:dyDescent="0.2">
      <c r="B67" s="12"/>
      <c r="C67" s="12"/>
      <c r="D67" s="12"/>
      <c r="E67" s="12"/>
      <c r="F67" s="12"/>
    </row>
    <row r="70" spans="2:6" x14ac:dyDescent="0.2">
      <c r="B70" s="21" t="s">
        <v>115</v>
      </c>
      <c r="C70" s="22" t="str">
        <f>_xlfn.CONCAT("Convert ",B18," to ",$C$5)</f>
        <v>Convert Capital call 4 to GBP</v>
      </c>
      <c r="D70" s="20"/>
      <c r="E70" s="20"/>
      <c r="F70" s="12"/>
    </row>
    <row r="71" spans="2:6" x14ac:dyDescent="0.2">
      <c r="B71" s="12"/>
      <c r="C71" s="12"/>
      <c r="D71" s="12"/>
      <c r="E71" s="12"/>
      <c r="F71" s="12"/>
    </row>
    <row r="72" spans="2:6" x14ac:dyDescent="0.2">
      <c r="B72" s="93" t="str">
        <f>B18</f>
        <v>Capital call 4</v>
      </c>
      <c r="C72" s="12" t="s">
        <v>117</v>
      </c>
      <c r="D72" s="52" t="str">
        <f>_xlfn.CONCAT(TEXT(C18,"0,0")," * ",I18)</f>
        <v>35000000,0 * 1,57656</v>
      </c>
      <c r="E72" s="12"/>
      <c r="F72" s="12"/>
    </row>
    <row r="73" spans="2:6" x14ac:dyDescent="0.2">
      <c r="B73" s="12"/>
      <c r="C73" s="12"/>
      <c r="D73" s="12"/>
      <c r="E73" s="12"/>
      <c r="F73" s="12"/>
    </row>
    <row r="74" spans="2:6" x14ac:dyDescent="0.2">
      <c r="B74" s="12"/>
      <c r="C74" s="12" t="s">
        <v>117</v>
      </c>
      <c r="D74" s="116">
        <f>C18*I18</f>
        <v>55179600</v>
      </c>
      <c r="E74" s="12"/>
      <c r="F74" s="12"/>
    </row>
    <row r="75" spans="2:6" x14ac:dyDescent="0.2">
      <c r="B75" s="12"/>
      <c r="C75" s="12"/>
      <c r="D75" s="12"/>
      <c r="E75" s="12"/>
      <c r="F75" s="12"/>
    </row>
  </sheetData>
  <mergeCells count="2">
    <mergeCell ref="J1:N1"/>
    <mergeCell ref="F4:P7"/>
  </mergeCells>
  <hyperlinks>
    <hyperlink ref="J1:N1" location="'Table of Contents'!A1" display="Back to Table of Contents" xr:uid="{4823093D-B60A-4533-A689-0347633C63DD}"/>
  </hyperlink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9DDA3-04DF-4BB8-9E67-90CC212474D9}">
  <sheetPr>
    <tabColor theme="7"/>
  </sheetPr>
  <dimension ref="A1:AK79"/>
  <sheetViews>
    <sheetView showGridLines="0" topLeftCell="F1" zoomScale="62" zoomScaleNormal="85" zoomScalePageLayoutView="85" workbookViewId="0">
      <pane ySplit="7" topLeftCell="A9" activePane="bottomLeft" state="frozen"/>
      <selection activeCell="B9" sqref="B9"/>
      <selection pane="bottomLeft" activeCell="S25" sqref="S25:V31"/>
    </sheetView>
  </sheetViews>
  <sheetFormatPr defaultColWidth="8.7109375" defaultRowHeight="12.75" x14ac:dyDescent="0.2"/>
  <cols>
    <col min="1" max="1" width="7.28515625" style="7" customWidth="1"/>
    <col min="2" max="2" width="22.28515625" customWidth="1"/>
    <col min="3" max="3" width="8.28515625" customWidth="1"/>
    <col min="4" max="4" width="15" bestFit="1" customWidth="1"/>
    <col min="5" max="5" width="11.28515625" customWidth="1"/>
    <col min="6" max="7" width="21.7109375" customWidth="1"/>
    <col min="8" max="8" width="9.28515625" customWidth="1"/>
    <col min="9" max="9" width="11.7109375" bestFit="1" customWidth="1"/>
    <col min="10" max="10" width="12.7109375" customWidth="1"/>
    <col min="11" max="11" width="11.140625" customWidth="1"/>
    <col min="12" max="12" width="7.5703125" customWidth="1"/>
    <col min="13" max="13" width="8.28515625" customWidth="1"/>
    <col min="14" max="14" width="9" customWidth="1"/>
    <col min="15" max="15" width="8.28515625" customWidth="1"/>
    <col min="16" max="16" width="15.28515625" customWidth="1"/>
    <col min="17" max="17" width="16" customWidth="1"/>
    <col min="19" max="19" width="21.7109375" bestFit="1" customWidth="1"/>
    <col min="20" max="20" width="23.28515625" customWidth="1"/>
    <col min="21" max="21" width="22.28515625" customWidth="1"/>
    <col min="22" max="22" width="21.5703125" bestFit="1" customWidth="1"/>
    <col min="25" max="25" width="46.28515625" bestFit="1" customWidth="1"/>
    <col min="30" max="30" width="12.42578125" customWidth="1"/>
    <col min="37" max="37" width="56.85546875" customWidth="1"/>
  </cols>
  <sheetData>
    <row r="1" spans="1:25" s="1" customFormat="1" ht="34.9" customHeight="1" x14ac:dyDescent="0.2">
      <c r="A1" s="6"/>
      <c r="B1" s="2" t="str">
        <f ca="1">MID(CELL("filename",A1),FIND("]",CELL("filename",A1))+ 1,255)&amp;" calculation example"</f>
        <v>Currency conversion - returns calculation example</v>
      </c>
      <c r="I1" s="143" t="s">
        <v>68</v>
      </c>
      <c r="J1" s="143"/>
      <c r="K1" s="143"/>
      <c r="L1" s="143"/>
      <c r="M1" s="143"/>
    </row>
    <row r="3" spans="1:25" x14ac:dyDescent="0.2">
      <c r="A3"/>
    </row>
    <row r="4" spans="1:25" ht="12.75" customHeight="1" x14ac:dyDescent="0.2">
      <c r="A4"/>
      <c r="B4" s="12" t="s">
        <v>69</v>
      </c>
      <c r="C4" s="12" t="s">
        <v>70</v>
      </c>
      <c r="D4" s="12"/>
      <c r="F4" s="186" t="s">
        <v>295</v>
      </c>
      <c r="G4" s="186"/>
      <c r="H4" s="186"/>
      <c r="I4" s="186"/>
      <c r="J4" s="186"/>
      <c r="K4" s="186"/>
      <c r="L4" s="186"/>
      <c r="M4" s="186"/>
      <c r="N4" s="186"/>
      <c r="O4" s="186"/>
      <c r="P4" s="186"/>
    </row>
    <row r="5" spans="1:25" x14ac:dyDescent="0.2">
      <c r="A5"/>
      <c r="B5" s="12" t="s">
        <v>72</v>
      </c>
      <c r="C5" s="12" t="s">
        <v>73</v>
      </c>
      <c r="D5" s="12"/>
      <c r="F5" s="186"/>
      <c r="G5" s="186"/>
      <c r="H5" s="186"/>
      <c r="I5" s="186"/>
      <c r="J5" s="186"/>
      <c r="K5" s="186"/>
      <c r="L5" s="186"/>
      <c r="M5" s="186"/>
      <c r="N5" s="186"/>
      <c r="O5" s="186"/>
      <c r="P5" s="186"/>
    </row>
    <row r="6" spans="1:25" x14ac:dyDescent="0.2">
      <c r="A6"/>
      <c r="B6" s="12" t="s">
        <v>296</v>
      </c>
      <c r="C6" s="12" t="s">
        <v>297</v>
      </c>
      <c r="D6" s="12"/>
      <c r="F6" s="186"/>
      <c r="G6" s="186"/>
      <c r="H6" s="186"/>
      <c r="I6" s="186"/>
      <c r="J6" s="186"/>
      <c r="K6" s="186"/>
      <c r="L6" s="186"/>
      <c r="M6" s="186"/>
      <c r="N6" s="186"/>
      <c r="O6" s="186"/>
      <c r="P6" s="186"/>
    </row>
    <row r="7" spans="1:25" x14ac:dyDescent="0.2">
      <c r="A7"/>
      <c r="B7" s="12" t="s">
        <v>74</v>
      </c>
      <c r="C7" s="12" t="s">
        <v>75</v>
      </c>
      <c r="D7" s="12"/>
      <c r="F7" s="186"/>
      <c r="G7" s="186"/>
      <c r="H7" s="186"/>
      <c r="I7" s="186"/>
      <c r="J7" s="186"/>
      <c r="K7" s="186"/>
      <c r="L7" s="186"/>
      <c r="M7" s="186"/>
      <c r="N7" s="186"/>
      <c r="O7" s="186"/>
      <c r="P7" s="186"/>
    </row>
    <row r="8" spans="1:25" x14ac:dyDescent="0.2">
      <c r="A8"/>
    </row>
    <row r="9" spans="1:25" x14ac:dyDescent="0.2">
      <c r="A9"/>
      <c r="B9" s="142" t="s">
        <v>298</v>
      </c>
    </row>
    <row r="10" spans="1:25" x14ac:dyDescent="0.2">
      <c r="A10"/>
    </row>
    <row r="11" spans="1:25" x14ac:dyDescent="0.2">
      <c r="A11"/>
      <c r="B11" s="3" t="s">
        <v>301</v>
      </c>
      <c r="I11" s="3" t="s">
        <v>77</v>
      </c>
      <c r="K11" s="3"/>
      <c r="S11" s="3" t="s">
        <v>302</v>
      </c>
      <c r="T11" s="3"/>
      <c r="U11" s="3"/>
    </row>
    <row r="12" spans="1:25" ht="26.25" customHeight="1" x14ac:dyDescent="0.2">
      <c r="A12"/>
      <c r="B12" s="4" t="str">
        <f>'Currency conversion - NAV'!B12</f>
        <v>Year</v>
      </c>
      <c r="C12" s="4" t="str">
        <f>'Currency conversion - NAV'!C12</f>
        <v>Quarter</v>
      </c>
      <c r="D12" s="4" t="str">
        <f>'Currency conversion - NAV'!D12</f>
        <v>NAV (GBP)</v>
      </c>
      <c r="E12" s="4" t="str">
        <f>'Currency conversion - NAV'!E12</f>
        <v>Date</v>
      </c>
      <c r="F12" s="4" t="str">
        <f>'Currency conversion - NAV'!F12</f>
        <v>GBP/USD currency rate</v>
      </c>
      <c r="G12" s="4" t="str">
        <f>'Currency conversion - NAV'!J12</f>
        <v>NAV converted to USD</v>
      </c>
      <c r="I12" s="37"/>
      <c r="J12" s="37" t="str">
        <f>'Currency conversion - cashflows'!C12</f>
        <v>Value</v>
      </c>
      <c r="K12" s="37" t="str">
        <f>'Currency conversion - cashflows'!D12</f>
        <v>Date</v>
      </c>
      <c r="L12" s="37" t="str">
        <f>'Currency conversion - cashflows'!E12</f>
        <v>Year</v>
      </c>
      <c r="M12" s="37" t="str">
        <f>'Currency conversion - cashflows'!F12</f>
        <v>Quarter</v>
      </c>
      <c r="N12" s="37" t="str">
        <f>'Currency conversion - cashflows'!G12</f>
        <v>Day in year</v>
      </c>
      <c r="O12" s="37" t="str">
        <f>'Currency conversion - cashflows'!H12</f>
        <v>Day in quarter</v>
      </c>
      <c r="P12" s="37" t="str">
        <f>'Currency conversion - cashflows'!I12</f>
        <v>GBP/USD Currency Rate</v>
      </c>
      <c r="Q12" s="37" t="s">
        <v>300</v>
      </c>
      <c r="S12" s="4"/>
      <c r="T12" s="4">
        <v>2010</v>
      </c>
      <c r="U12" s="4">
        <v>2011</v>
      </c>
      <c r="V12" s="4">
        <v>2012</v>
      </c>
      <c r="X12" s="121" t="s">
        <v>87</v>
      </c>
      <c r="Y12" s="122"/>
    </row>
    <row r="13" spans="1:25" s="29" customFormat="1" x14ac:dyDescent="0.2">
      <c r="A13" s="36"/>
      <c r="B13" s="94">
        <f>'Currency conversion - NAV'!B13</f>
        <v>2009</v>
      </c>
      <c r="C13" s="94">
        <f>'Currency conversion - NAV'!C13</f>
        <v>4</v>
      </c>
      <c r="D13" s="117">
        <f>'Currency conversion - NAV'!D13</f>
        <v>150000000</v>
      </c>
      <c r="E13" s="95">
        <f>'Currency conversion - NAV'!E13</f>
        <v>40178</v>
      </c>
      <c r="F13" s="94">
        <f>'Currency conversion - NAV'!F13</f>
        <v>1.5928</v>
      </c>
      <c r="G13" s="117">
        <f>D13*F13</f>
        <v>238920000</v>
      </c>
      <c r="H13"/>
      <c r="I13" s="29" t="str">
        <f>'Currency conversion - cashflows'!B13</f>
        <v>Capital call 1</v>
      </c>
      <c r="J13" s="30">
        <f>'Currency conversion - cashflows'!C13</f>
        <v>26000000</v>
      </c>
      <c r="K13" s="92">
        <f>'Currency conversion - cashflows'!D13</f>
        <v>40220</v>
      </c>
      <c r="L13" s="29">
        <f>'Currency conversion - cashflows'!E13</f>
        <v>2010</v>
      </c>
      <c r="M13" s="29">
        <f>'Currency conversion - cashflows'!F13</f>
        <v>1</v>
      </c>
      <c r="N13" s="32">
        <f>'Currency conversion - cashflows'!G13</f>
        <v>42</v>
      </c>
      <c r="O13" s="32">
        <f>'Currency conversion - cashflows'!H13</f>
        <v>42</v>
      </c>
      <c r="P13" s="32">
        <f>'Currency conversion - cashflows'!I13</f>
        <v>1.5660700000000001</v>
      </c>
      <c r="Q13" s="13">
        <f t="shared" ref="Q13:Q19" si="0">J13*P13</f>
        <v>40717820</v>
      </c>
      <c r="R13"/>
      <c r="S13" t="s">
        <v>89</v>
      </c>
      <c r="T13" s="39">
        <f>D46</f>
        <v>2.0036380678354622E-2</v>
      </c>
      <c r="U13" s="39">
        <f>T46</f>
        <v>2.9489035485237108E-2</v>
      </c>
      <c r="V13" s="39">
        <f>AD46</f>
        <v>0.1310441145514083</v>
      </c>
      <c r="W13"/>
      <c r="X13" s="123"/>
      <c r="Y13" s="124"/>
    </row>
    <row r="14" spans="1:25" s="29" customFormat="1" x14ac:dyDescent="0.2">
      <c r="B14" s="94">
        <f>'Currency conversion - NAV'!B14</f>
        <v>2010</v>
      </c>
      <c r="C14" s="94">
        <f>'Currency conversion - NAV'!C14</f>
        <v>4</v>
      </c>
      <c r="D14" s="117">
        <f>'Currency conversion - NAV'!D14</f>
        <v>271000000</v>
      </c>
      <c r="E14" s="95">
        <f>'Currency conversion - NAV'!E14</f>
        <v>40543</v>
      </c>
      <c r="F14" s="94">
        <f>'Currency conversion - NAV'!F14</f>
        <v>1.5470999999999999</v>
      </c>
      <c r="G14" s="117">
        <f>D14*F14</f>
        <v>419264100</v>
      </c>
      <c r="H14"/>
      <c r="I14" s="29" t="str">
        <f>'Currency conversion - cashflows'!B14</f>
        <v>Capital call 2</v>
      </c>
      <c r="J14" s="30">
        <f>'Currency conversion - cashflows'!C14</f>
        <v>39000000</v>
      </c>
      <c r="K14" s="92">
        <f>'Currency conversion - cashflows'!D14</f>
        <v>40305</v>
      </c>
      <c r="L14" s="29">
        <f>'Currency conversion - cashflows'!E14</f>
        <v>2010</v>
      </c>
      <c r="M14" s="29">
        <f>'Currency conversion - cashflows'!F14</f>
        <v>2</v>
      </c>
      <c r="N14" s="32">
        <f>'Currency conversion - cashflows'!G14</f>
        <v>127</v>
      </c>
      <c r="O14" s="32">
        <f>'Currency conversion - cashflows'!H14</f>
        <v>37</v>
      </c>
      <c r="P14" s="32">
        <f>'Currency conversion - cashflows'!I14</f>
        <v>1.4997199999999999</v>
      </c>
      <c r="Q14" s="13">
        <f t="shared" si="0"/>
        <v>58489080</v>
      </c>
      <c r="R14"/>
      <c r="S14" s="29" t="s">
        <v>91</v>
      </c>
      <c r="T14" s="39">
        <f>D62</f>
        <v>-3.4320046340191361E-2</v>
      </c>
      <c r="U14" s="39">
        <f>T62</f>
        <v>-2.4238564301374693E-2</v>
      </c>
      <c r="V14" s="39">
        <f>AD62</f>
        <v>7.9157707179013298E-2</v>
      </c>
      <c r="W14"/>
      <c r="X14" s="125" t="s">
        <v>92</v>
      </c>
      <c r="Y14" s="124" t="s">
        <v>93</v>
      </c>
    </row>
    <row r="15" spans="1:25" s="29" customFormat="1" x14ac:dyDescent="0.2">
      <c r="A15" s="36"/>
      <c r="B15" s="94">
        <f>'Currency conversion - NAV'!B15</f>
        <v>2011</v>
      </c>
      <c r="C15" s="94">
        <f>'Currency conversion - NAV'!C15</f>
        <v>4</v>
      </c>
      <c r="D15" s="117">
        <f>'Currency conversion - NAV'!D15</f>
        <v>290000000</v>
      </c>
      <c r="E15" s="95">
        <f>'Currency conversion - NAV'!E15</f>
        <v>40908</v>
      </c>
      <c r="F15" s="94">
        <f>'Currency conversion - NAV'!F15</f>
        <v>1.5456000000000001</v>
      </c>
      <c r="G15" s="117">
        <f>D15*F15</f>
        <v>448224000</v>
      </c>
      <c r="H15" s="36"/>
      <c r="I15" s="29" t="str">
        <f>'Currency conversion - cashflows'!B15</f>
        <v>Capital call 3</v>
      </c>
      <c r="J15" s="30">
        <f>'Currency conversion - cashflows'!C15</f>
        <v>25000000</v>
      </c>
      <c r="K15" s="92">
        <f>'Currency conversion - cashflows'!D15</f>
        <v>40305</v>
      </c>
      <c r="L15" s="29">
        <f>'Currency conversion - cashflows'!E15</f>
        <v>2010</v>
      </c>
      <c r="M15" s="29">
        <f>'Currency conversion - cashflows'!F15</f>
        <v>2</v>
      </c>
      <c r="N15" s="32">
        <f>'Currency conversion - cashflows'!G15</f>
        <v>127</v>
      </c>
      <c r="O15" s="32">
        <f>'Currency conversion - cashflows'!H15</f>
        <v>37</v>
      </c>
      <c r="P15" s="32">
        <f>'Currency conversion - cashflows'!I15</f>
        <v>1.4997199999999999</v>
      </c>
      <c r="Q15" s="13">
        <f t="shared" si="0"/>
        <v>37493000</v>
      </c>
      <c r="R15" s="32"/>
      <c r="S15" s="29" t="s">
        <v>95</v>
      </c>
      <c r="T15" s="39">
        <f>D78</f>
        <v>5.4356427018545976E-2</v>
      </c>
      <c r="U15" s="39">
        <f>T78</f>
        <v>5.3727599786611797E-2</v>
      </c>
      <c r="V15" s="39">
        <f>AD78</f>
        <v>5.1886407372394985E-2</v>
      </c>
      <c r="X15" s="125" t="s">
        <v>96</v>
      </c>
      <c r="Y15" s="124" t="s">
        <v>97</v>
      </c>
    </row>
    <row r="16" spans="1:25" s="29" customFormat="1" x14ac:dyDescent="0.2">
      <c r="A16" s="36"/>
      <c r="B16" s="94">
        <f>'Currency conversion - NAV'!B16</f>
        <v>2012</v>
      </c>
      <c r="C16" s="94">
        <f>'Currency conversion - NAV'!C16</f>
        <v>4</v>
      </c>
      <c r="D16" s="117">
        <f>'Currency conversion - NAV'!D16</f>
        <v>320000000</v>
      </c>
      <c r="E16" s="95">
        <f>'Currency conversion - NAV'!E16</f>
        <v>41274</v>
      </c>
      <c r="F16" s="164">
        <f>'Currency conversion - NAV'!F16</f>
        <v>1.6168199999999999</v>
      </c>
      <c r="G16" s="117">
        <f>D16*F16</f>
        <v>517382400</v>
      </c>
      <c r="I16" s="29" t="str">
        <f>'Currency conversion - cashflows'!B16</f>
        <v>Distribution 1</v>
      </c>
      <c r="J16" s="30">
        <f>'Currency conversion - cashflows'!C16</f>
        <v>6000000</v>
      </c>
      <c r="K16" s="92">
        <f>'Currency conversion - cashflows'!D16</f>
        <v>40325</v>
      </c>
      <c r="L16" s="29">
        <f>'Currency conversion - cashflows'!E16</f>
        <v>2010</v>
      </c>
      <c r="M16" s="29">
        <f>'Currency conversion - cashflows'!F16</f>
        <v>2</v>
      </c>
      <c r="N16" s="32">
        <f>'Currency conversion - cashflows'!G16</f>
        <v>147</v>
      </c>
      <c r="O16" s="32">
        <f>'Currency conversion - cashflows'!H16</f>
        <v>57</v>
      </c>
      <c r="P16" s="32">
        <f>'Currency conversion - cashflows'!I16</f>
        <v>1.4398899999999999</v>
      </c>
      <c r="Q16" s="13">
        <f t="shared" si="0"/>
        <v>8639340</v>
      </c>
      <c r="S16"/>
      <c r="T16"/>
      <c r="U16"/>
      <c r="V16"/>
      <c r="X16" s="125" t="s">
        <v>99</v>
      </c>
      <c r="Y16" s="124" t="s">
        <v>100</v>
      </c>
    </row>
    <row r="17" spans="1:25" ht="12.75" customHeight="1" x14ac:dyDescent="0.2">
      <c r="B17" s="10"/>
      <c r="I17" s="29" t="str">
        <f>'Currency conversion - cashflows'!B17</f>
        <v>Distribution 2</v>
      </c>
      <c r="J17" s="30">
        <f>'Currency conversion - cashflows'!C17</f>
        <v>6000000</v>
      </c>
      <c r="K17" s="92">
        <f>'Currency conversion - cashflows'!D17</f>
        <v>40484</v>
      </c>
      <c r="L17" s="29">
        <f>'Currency conversion - cashflows'!E17</f>
        <v>2010</v>
      </c>
      <c r="M17" s="29">
        <f>'Currency conversion - cashflows'!F17</f>
        <v>4</v>
      </c>
      <c r="N17" s="32">
        <f>'Currency conversion - cashflows'!G17</f>
        <v>306</v>
      </c>
      <c r="O17" s="32">
        <f>'Currency conversion - cashflows'!H17</f>
        <v>33</v>
      </c>
      <c r="P17" s="32">
        <f>'Currency conversion - cashflows'!I17</f>
        <v>1.6050899999999999</v>
      </c>
      <c r="Q17" s="13">
        <f t="shared" si="0"/>
        <v>9630540</v>
      </c>
      <c r="X17" s="125" t="s">
        <v>102</v>
      </c>
      <c r="Y17" s="124" t="s">
        <v>103</v>
      </c>
    </row>
    <row r="18" spans="1:25" s="159" customFormat="1" x14ac:dyDescent="0.2">
      <c r="A18" s="7"/>
      <c r="B18" s="10"/>
      <c r="C18"/>
      <c r="D18"/>
      <c r="E18"/>
      <c r="F18"/>
      <c r="G18"/>
      <c r="H18"/>
      <c r="I18" s="29" t="str">
        <f>'Currency conversion - cashflows'!B18</f>
        <v>Capital call 4</v>
      </c>
      <c r="J18" s="30">
        <f>'Currency conversion - cashflows'!C18</f>
        <v>35000000</v>
      </c>
      <c r="K18" s="92">
        <f>'Currency conversion - cashflows'!D18</f>
        <v>40508</v>
      </c>
      <c r="L18" s="29">
        <f>'Currency conversion - cashflows'!E18</f>
        <v>2010</v>
      </c>
      <c r="M18" s="29">
        <f>'Currency conversion - cashflows'!F18</f>
        <v>4</v>
      </c>
      <c r="N18" s="32">
        <f>'Currency conversion - cashflows'!G18</f>
        <v>330</v>
      </c>
      <c r="O18" s="32">
        <f>'Currency conversion - cashflows'!H18</f>
        <v>57</v>
      </c>
      <c r="P18" s="32">
        <f>'Currency conversion - cashflows'!I18</f>
        <v>1.57656</v>
      </c>
      <c r="Q18" s="13">
        <f t="shared" si="0"/>
        <v>55179600</v>
      </c>
      <c r="S18" s="163"/>
      <c r="T18" s="163"/>
      <c r="U18" s="163"/>
      <c r="V18" s="163"/>
      <c r="X18" s="160" t="s">
        <v>105</v>
      </c>
      <c r="Y18" s="161" t="s">
        <v>106</v>
      </c>
    </row>
    <row r="19" spans="1:25" s="152" customFormat="1" ht="14.25" customHeight="1" x14ac:dyDescent="0.2">
      <c r="A19" s="7"/>
      <c r="B19" s="10"/>
      <c r="C19"/>
      <c r="D19"/>
      <c r="E19"/>
      <c r="F19"/>
      <c r="G19"/>
      <c r="H19"/>
      <c r="I19" s="29" t="str">
        <f>'Currency conversion - cashflows'!B19</f>
        <v>Distribution 3</v>
      </c>
      <c r="J19" s="30">
        <f>'Currency conversion - cashflows'!C19</f>
        <v>7000000</v>
      </c>
      <c r="K19" s="92">
        <f>'Currency conversion - cashflows'!D19</f>
        <v>40690</v>
      </c>
      <c r="L19" s="29">
        <f>'Currency conversion - cashflows'!E19</f>
        <v>2011</v>
      </c>
      <c r="M19" s="29">
        <f>'Currency conversion - cashflows'!F19</f>
        <v>2</v>
      </c>
      <c r="N19" s="32">
        <f>'Currency conversion - cashflows'!G19</f>
        <v>147</v>
      </c>
      <c r="O19" s="32">
        <f>'Currency conversion - cashflows'!H19</f>
        <v>57</v>
      </c>
      <c r="P19" s="32">
        <f>'Currency conversion - cashflows'!I19</f>
        <v>1.6325000000000001</v>
      </c>
      <c r="Q19" s="13">
        <f t="shared" si="0"/>
        <v>11427500</v>
      </c>
      <c r="S19" s="166" t="s">
        <v>303</v>
      </c>
      <c r="T19" s="166"/>
      <c r="U19" s="166"/>
      <c r="V19" s="167"/>
      <c r="X19" s="153"/>
      <c r="Y19" s="154"/>
    </row>
    <row r="20" spans="1:25" x14ac:dyDescent="0.2">
      <c r="B20" s="10"/>
      <c r="I20" s="29" t="str">
        <f>'Currency conversion - cashflows'!B20</f>
        <v>Capital call 5</v>
      </c>
      <c r="J20" s="30">
        <f>'Currency conversion - cashflows'!C20</f>
        <v>25000000</v>
      </c>
      <c r="K20" s="92">
        <f>'Currency conversion - cashflows'!D20</f>
        <v>40808</v>
      </c>
      <c r="L20" s="29">
        <f>'Currency conversion - cashflows'!E20</f>
        <v>2011</v>
      </c>
      <c r="M20" s="29">
        <f>'Currency conversion - cashflows'!F20</f>
        <v>3</v>
      </c>
      <c r="N20" s="32">
        <f>'Currency conversion - cashflows'!G20</f>
        <v>265</v>
      </c>
      <c r="O20" s="32">
        <f>'Currency conversion - cashflows'!H20</f>
        <v>84</v>
      </c>
      <c r="P20" s="32">
        <f>'Currency conversion - cashflows'!I20</f>
        <v>1.5670999999999999</v>
      </c>
      <c r="Q20" s="13">
        <f t="shared" ref="Q20" si="1">J20*P20</f>
        <v>39177500</v>
      </c>
      <c r="S20" s="156"/>
      <c r="T20" s="165" t="s">
        <v>43</v>
      </c>
      <c r="U20" s="165" t="s">
        <v>44</v>
      </c>
      <c r="V20" s="169" t="s">
        <v>45</v>
      </c>
      <c r="X20" s="123"/>
      <c r="Y20" s="124"/>
    </row>
    <row r="21" spans="1:25" ht="12.75" customHeight="1" x14ac:dyDescent="0.2">
      <c r="B21" s="10"/>
      <c r="I21" s="29" t="str">
        <f>'Currency conversion - cashflows'!B21</f>
        <v>Distribution 4</v>
      </c>
      <c r="J21" s="30">
        <f>'Currency conversion - cashflows'!C21</f>
        <v>7000000</v>
      </c>
      <c r="K21" s="92">
        <f>'Currency conversion - cashflows'!D21</f>
        <v>40855</v>
      </c>
      <c r="L21" s="29">
        <f>'Currency conversion - cashflows'!E21</f>
        <v>2011</v>
      </c>
      <c r="M21" s="29">
        <f>'Currency conversion - cashflows'!F21</f>
        <v>4</v>
      </c>
      <c r="N21" s="32">
        <f>'Currency conversion - cashflows'!G21</f>
        <v>312</v>
      </c>
      <c r="O21" s="32">
        <f>'Currency conversion - cashflows'!H21</f>
        <v>39</v>
      </c>
      <c r="P21" s="32">
        <f>'Currency conversion - cashflows'!I21</f>
        <v>1.603</v>
      </c>
      <c r="Q21" s="13">
        <f t="shared" ref="Q21:Q25" si="2">J21*P21</f>
        <v>11221000</v>
      </c>
      <c r="S21" s="144" t="str">
        <f>'Single year return 2011'!N12</f>
        <v>Total return</v>
      </c>
      <c r="T21" s="168">
        <f>'Single year return 2010'!O12</f>
        <v>3.746327444414508E-2</v>
      </c>
      <c r="U21" s="168">
        <f>'Single year return 2011'!O12</f>
        <v>2.9341425671737781E-2</v>
      </c>
      <c r="V21" s="170">
        <f>'Single year return 2012'!O12</f>
        <v>8.0991369772073468E-2</v>
      </c>
      <c r="X21" s="182" t="s">
        <v>304</v>
      </c>
      <c r="Y21" s="183"/>
    </row>
    <row r="22" spans="1:25" x14ac:dyDescent="0.2">
      <c r="B22" s="10"/>
      <c r="F22" s="175"/>
      <c r="I22" s="29" t="str">
        <f>'Currency conversion - cashflows'!B22</f>
        <v>Redemption 1</v>
      </c>
      <c r="J22" s="30">
        <f>'Currency conversion - cashflows'!C22</f>
        <v>2000000</v>
      </c>
      <c r="K22" s="92">
        <f>'Currency conversion - cashflows'!D22</f>
        <v>40939</v>
      </c>
      <c r="L22" s="29">
        <f>'Currency conversion - cashflows'!E22</f>
        <v>2012</v>
      </c>
      <c r="M22" s="29">
        <f>'Currency conversion - cashflows'!F22</f>
        <v>1</v>
      </c>
      <c r="N22" s="32">
        <f>'Currency conversion - cashflows'!G22</f>
        <v>31</v>
      </c>
      <c r="O22" s="32">
        <f>'Currency conversion - cashflows'!H22</f>
        <v>31</v>
      </c>
      <c r="P22" s="32">
        <f>'Currency conversion - cashflows'!I22</f>
        <v>1.56975</v>
      </c>
      <c r="Q22" s="13">
        <f t="shared" si="2"/>
        <v>3139500</v>
      </c>
      <c r="S22" s="145" t="str">
        <f>'Single year return 2011'!N13</f>
        <v>Capital growth</v>
      </c>
      <c r="T22" s="168">
        <f>'Single year return 2010'!O13</f>
        <v>-1.873163722207254E-2</v>
      </c>
      <c r="U22" s="168">
        <f>'Single year return 2011'!O13</f>
        <v>-2.2006069253803336E-2</v>
      </c>
      <c r="V22" s="170">
        <f>'Single year return 2012'!O13</f>
        <v>3.0371763664527551E-2</v>
      </c>
      <c r="X22" s="182"/>
      <c r="Y22" s="183"/>
    </row>
    <row r="23" spans="1:25" x14ac:dyDescent="0.2">
      <c r="B23" s="10"/>
      <c r="I23" s="29" t="str">
        <f>'Currency conversion - cashflows'!B23</f>
        <v>Distribution 5</v>
      </c>
      <c r="J23" s="30">
        <f>'Currency conversion - cashflows'!C23</f>
        <v>7000000</v>
      </c>
      <c r="K23" s="92">
        <f>'Currency conversion - cashflows'!D23</f>
        <v>41057</v>
      </c>
      <c r="L23" s="29">
        <f>'Currency conversion - cashflows'!E23</f>
        <v>2012</v>
      </c>
      <c r="M23" s="29">
        <f>'Currency conversion - cashflows'!F23</f>
        <v>2</v>
      </c>
      <c r="N23" s="32">
        <f>'Currency conversion - cashflows'!G23</f>
        <v>149</v>
      </c>
      <c r="O23" s="32">
        <f>'Currency conversion - cashflows'!H23</f>
        <v>58</v>
      </c>
      <c r="P23" s="32">
        <f>'Currency conversion - cashflows'!I23</f>
        <v>1.56718</v>
      </c>
      <c r="Q23" s="13">
        <f t="shared" si="2"/>
        <v>10970260</v>
      </c>
      <c r="S23" s="146" t="str">
        <f>'Single year return 2011'!N14</f>
        <v>Distributed income return</v>
      </c>
      <c r="T23" s="171">
        <f>'Single year return 2010'!O14</f>
        <v>5.6194911666217623E-2</v>
      </c>
      <c r="U23" s="171">
        <f>'Single year return 2011'!O14</f>
        <v>5.1347494925541116E-2</v>
      </c>
      <c r="V23" s="172">
        <f>'Single year return 2012'!O14</f>
        <v>5.0619606107545921E-2</v>
      </c>
      <c r="X23" s="184"/>
      <c r="Y23" s="185"/>
    </row>
    <row r="24" spans="1:25" x14ac:dyDescent="0.2">
      <c r="B24" s="10"/>
      <c r="I24" s="29" t="str">
        <f>'Currency conversion - cashflows'!B24</f>
        <v>Capital call 6</v>
      </c>
      <c r="J24" s="30">
        <f>'Currency conversion - cashflows'!C24</f>
        <v>23000000</v>
      </c>
      <c r="K24" s="92">
        <f>'Currency conversion - cashflows'!D24</f>
        <v>41059</v>
      </c>
      <c r="L24" s="29">
        <f>'Currency conversion - cashflows'!E24</f>
        <v>2012</v>
      </c>
      <c r="M24" s="29">
        <f>'Currency conversion - cashflows'!F24</f>
        <v>2</v>
      </c>
      <c r="N24" s="32">
        <f>'Currency conversion - cashflows'!G24</f>
        <v>151</v>
      </c>
      <c r="O24" s="32">
        <f>'Currency conversion - cashflows'!H24</f>
        <v>60</v>
      </c>
      <c r="P24" s="32">
        <f>'Currency conversion - cashflows'!I24</f>
        <v>1.5668</v>
      </c>
      <c r="Q24" s="13">
        <f t="shared" si="2"/>
        <v>36036400</v>
      </c>
    </row>
    <row r="25" spans="1:25" ht="12.75" customHeight="1" x14ac:dyDescent="0.2">
      <c r="B25" s="10"/>
      <c r="I25" s="29" t="str">
        <f>'Currency conversion - cashflows'!B25</f>
        <v>Distribution 6</v>
      </c>
      <c r="J25" s="30">
        <f>'Currency conversion - cashflows'!C25</f>
        <v>8000000</v>
      </c>
      <c r="K25" s="92">
        <f>'Currency conversion - cashflows'!D25</f>
        <v>41219</v>
      </c>
      <c r="L25" s="29">
        <f>'Currency conversion - cashflows'!E25</f>
        <v>2012</v>
      </c>
      <c r="M25" s="29">
        <f>'Currency conversion - cashflows'!F25</f>
        <v>4</v>
      </c>
      <c r="N25" s="32">
        <f>'Currency conversion - cashflows'!G25</f>
        <v>311</v>
      </c>
      <c r="O25" s="32">
        <f>'Currency conversion - cashflows'!H25</f>
        <v>37</v>
      </c>
      <c r="P25" s="32">
        <f>'Currency conversion - cashflows'!I25</f>
        <v>1.59981</v>
      </c>
      <c r="Q25" s="13">
        <f t="shared" si="2"/>
        <v>12798480</v>
      </c>
      <c r="S25" s="187" t="s">
        <v>305</v>
      </c>
      <c r="T25" s="187"/>
      <c r="U25" s="187"/>
      <c r="V25" s="187"/>
    </row>
    <row r="26" spans="1:25" x14ac:dyDescent="0.2">
      <c r="B26" s="10"/>
      <c r="I26" s="29"/>
      <c r="J26" s="30"/>
      <c r="K26" s="92"/>
      <c r="L26" s="29"/>
      <c r="M26" s="29"/>
      <c r="N26" s="32"/>
      <c r="O26" s="32"/>
      <c r="P26" s="32"/>
      <c r="Q26" s="13"/>
      <c r="S26" s="187"/>
      <c r="T26" s="187"/>
      <c r="U26" s="187"/>
      <c r="V26" s="187"/>
    </row>
    <row r="27" spans="1:25" ht="12.75" customHeight="1" x14ac:dyDescent="0.2">
      <c r="B27" s="10"/>
      <c r="I27" s="29"/>
      <c r="J27" s="30"/>
      <c r="K27" s="92"/>
      <c r="L27" s="29"/>
      <c r="M27" s="29"/>
      <c r="N27" s="32"/>
      <c r="O27" s="32"/>
      <c r="P27" s="32"/>
      <c r="Q27" s="13"/>
      <c r="S27" s="187"/>
      <c r="T27" s="187"/>
      <c r="U27" s="187"/>
      <c r="V27" s="187"/>
    </row>
    <row r="28" spans="1:25" ht="12.75" customHeight="1" x14ac:dyDescent="0.2">
      <c r="B28" s="10"/>
      <c r="S28" s="187"/>
      <c r="T28" s="187"/>
      <c r="U28" s="187"/>
      <c r="V28" s="187"/>
    </row>
    <row r="29" spans="1:25" ht="12.75" customHeight="1" x14ac:dyDescent="0.2">
      <c r="B29" s="10"/>
      <c r="S29" s="187"/>
      <c r="T29" s="187"/>
      <c r="U29" s="187"/>
      <c r="V29" s="187"/>
    </row>
    <row r="30" spans="1:25" ht="12.75" customHeight="1" x14ac:dyDescent="0.2">
      <c r="B30" s="10"/>
      <c r="S30" s="187"/>
      <c r="T30" s="187"/>
      <c r="U30" s="187"/>
      <c r="V30" s="187"/>
    </row>
    <row r="31" spans="1:25" ht="12.75" customHeight="1" x14ac:dyDescent="0.2">
      <c r="B31" s="10"/>
      <c r="S31" s="187"/>
      <c r="T31" s="187"/>
      <c r="U31" s="187"/>
      <c r="V31" s="187"/>
    </row>
    <row r="32" spans="1:25" x14ac:dyDescent="0.2">
      <c r="B32" s="10"/>
      <c r="S32" s="155"/>
      <c r="T32" s="155"/>
      <c r="U32" s="155"/>
      <c r="V32" s="155"/>
    </row>
    <row r="33" spans="1:37" x14ac:dyDescent="0.2">
      <c r="B33" s="10"/>
      <c r="S33" s="155"/>
      <c r="T33" s="155"/>
      <c r="U33" s="155"/>
      <c r="V33" s="155"/>
    </row>
    <row r="34" spans="1:37" x14ac:dyDescent="0.2">
      <c r="A34" s="157"/>
      <c r="B34" s="158"/>
      <c r="C34" s="159"/>
      <c r="D34" s="159"/>
      <c r="E34" s="159"/>
      <c r="F34" s="159"/>
      <c r="G34" s="159"/>
      <c r="H34" s="159"/>
      <c r="I34" s="159"/>
      <c r="J34" s="159"/>
      <c r="K34" s="159"/>
      <c r="L34" s="159"/>
      <c r="M34" s="159"/>
      <c r="N34" s="159"/>
      <c r="O34" s="159"/>
      <c r="S34" s="155"/>
      <c r="T34" s="155"/>
      <c r="U34" s="155"/>
      <c r="V34" s="155"/>
    </row>
    <row r="35" spans="1:37" x14ac:dyDescent="0.2">
      <c r="A35" s="152"/>
      <c r="B35" s="147" t="s">
        <v>115</v>
      </c>
      <c r="C35" s="148" t="s">
        <v>306</v>
      </c>
      <c r="D35" s="149"/>
      <c r="E35" s="149"/>
      <c r="F35" s="149"/>
      <c r="G35" s="149"/>
      <c r="H35" s="149"/>
      <c r="I35" s="150"/>
      <c r="J35" s="150"/>
      <c r="K35" s="150"/>
      <c r="L35" s="151"/>
      <c r="M35" s="151"/>
      <c r="N35" s="151"/>
      <c r="O35" s="151"/>
      <c r="P35" s="151"/>
      <c r="Q35" s="151"/>
      <c r="R35" s="147" t="s">
        <v>115</v>
      </c>
      <c r="S35" s="148" t="s">
        <v>307</v>
      </c>
      <c r="T35" s="149"/>
      <c r="U35" s="149"/>
      <c r="V35" s="149"/>
      <c r="W35" s="149"/>
      <c r="X35" s="149"/>
      <c r="Y35" s="150"/>
      <c r="AB35" s="147" t="s">
        <v>115</v>
      </c>
      <c r="AC35" s="148" t="s">
        <v>308</v>
      </c>
      <c r="AD35" s="149"/>
      <c r="AE35" s="149"/>
      <c r="AF35" s="149"/>
      <c r="AG35" s="149"/>
      <c r="AH35" s="149"/>
      <c r="AI35" s="150"/>
      <c r="AJ35" s="150"/>
      <c r="AK35" s="150"/>
    </row>
    <row r="36" spans="1:37" x14ac:dyDescent="0.2">
      <c r="B36" s="19"/>
      <c r="C36" s="20"/>
      <c r="D36" s="20"/>
      <c r="E36" s="20"/>
      <c r="F36" s="20"/>
      <c r="G36" s="20"/>
      <c r="H36" s="20"/>
      <c r="I36" s="12"/>
      <c r="J36" s="12"/>
      <c r="K36" s="12"/>
      <c r="R36" s="19"/>
      <c r="S36" s="20"/>
      <c r="T36" s="20"/>
      <c r="U36" s="20"/>
      <c r="V36" s="20"/>
      <c r="W36" s="20"/>
      <c r="X36" s="20"/>
      <c r="Y36" s="12"/>
      <c r="AB36" s="19"/>
      <c r="AC36" s="20"/>
      <c r="AD36" s="20"/>
      <c r="AE36" s="20"/>
      <c r="AF36" s="20"/>
      <c r="AG36" s="20"/>
      <c r="AH36" s="20"/>
      <c r="AI36" s="12"/>
      <c r="AJ36" s="12"/>
      <c r="AK36" s="12"/>
    </row>
    <row r="37" spans="1:37" x14ac:dyDescent="0.2">
      <c r="B37" s="19" t="s">
        <v>89</v>
      </c>
      <c r="C37" s="20" t="s">
        <v>117</v>
      </c>
      <c r="D37" s="33" t="s">
        <v>118</v>
      </c>
      <c r="E37" s="33"/>
      <c r="F37" s="33"/>
      <c r="G37" s="12"/>
      <c r="H37" s="12"/>
      <c r="I37" s="12"/>
      <c r="J37" s="12"/>
      <c r="K37" s="12"/>
      <c r="R37" s="19" t="s">
        <v>89</v>
      </c>
      <c r="S37" s="20" t="s">
        <v>117</v>
      </c>
      <c r="T37" s="33" t="s">
        <v>118</v>
      </c>
      <c r="U37" s="33"/>
      <c r="V37" s="33"/>
      <c r="W37" s="12"/>
      <c r="X37" s="12"/>
      <c r="Y37" s="12"/>
      <c r="AB37" s="19" t="s">
        <v>89</v>
      </c>
      <c r="AC37" s="20" t="s">
        <v>117</v>
      </c>
      <c r="AD37" s="33" t="s">
        <v>118</v>
      </c>
      <c r="AE37" s="33"/>
      <c r="AF37" s="33"/>
      <c r="AG37" s="12"/>
      <c r="AH37" s="12"/>
      <c r="AI37" s="12"/>
      <c r="AJ37" s="12"/>
      <c r="AK37" s="12"/>
    </row>
    <row r="38" spans="1:37" x14ac:dyDescent="0.2">
      <c r="B38" s="19"/>
      <c r="C38" s="20"/>
      <c r="D38" s="12"/>
      <c r="E38" s="12" t="s">
        <v>119</v>
      </c>
      <c r="F38" s="12"/>
      <c r="G38" s="12"/>
      <c r="H38" s="12"/>
      <c r="I38" s="12"/>
      <c r="J38" s="12"/>
      <c r="K38" s="12"/>
      <c r="R38" s="19"/>
      <c r="S38" s="20"/>
      <c r="T38" s="12"/>
      <c r="U38" s="12" t="s">
        <v>119</v>
      </c>
      <c r="V38" s="12"/>
      <c r="W38" s="12"/>
      <c r="X38" s="12"/>
      <c r="Y38" s="12"/>
      <c r="AB38" s="19"/>
      <c r="AC38" s="20"/>
      <c r="AD38" s="12"/>
      <c r="AE38" s="12" t="s">
        <v>119</v>
      </c>
      <c r="AF38" s="12"/>
      <c r="AG38" s="12"/>
      <c r="AH38" s="12"/>
      <c r="AI38" s="12"/>
      <c r="AJ38" s="12"/>
      <c r="AK38" s="12"/>
    </row>
    <row r="39" spans="1:37" x14ac:dyDescent="0.2">
      <c r="B39" s="19"/>
      <c r="C39" s="20"/>
      <c r="D39" s="12"/>
      <c r="E39" s="12"/>
      <c r="F39" s="12"/>
      <c r="G39" s="12"/>
      <c r="H39" s="12"/>
      <c r="I39" s="12"/>
      <c r="J39" s="12"/>
      <c r="K39" s="12"/>
      <c r="R39" s="19"/>
      <c r="S39" s="20"/>
      <c r="T39" s="12"/>
      <c r="U39" s="12"/>
      <c r="V39" s="12"/>
      <c r="W39" s="12"/>
      <c r="X39" s="12"/>
      <c r="Y39" s="12"/>
      <c r="AB39" s="19"/>
      <c r="AC39" s="20"/>
      <c r="AD39" s="12"/>
      <c r="AE39" s="12"/>
      <c r="AF39" s="12"/>
      <c r="AG39" s="12"/>
      <c r="AH39" s="12"/>
      <c r="AI39" s="12"/>
      <c r="AJ39" s="12"/>
      <c r="AK39" s="12"/>
    </row>
    <row r="40" spans="1:37" x14ac:dyDescent="0.2">
      <c r="B40" s="19"/>
      <c r="C40" s="20" t="s">
        <v>117</v>
      </c>
      <c r="D40" s="23"/>
      <c r="E40" s="23" t="str">
        <f>_xlfn.CONCAT(TEXT($G$14,"00,0"), " - ",TEXT($G$13,"00,0"), " - (",TEXT($Q$13,"00,0")," + ",TEXT($Q$14,"00,0")," + ",TEXT($Q$15,"00,0")," + ",TEXT($Q$18,"00,0"),")"," + ",TEXT($Q$16,"00,0")," + ",TEXT($Q$17,"00,0"))</f>
        <v>419264100,0 - 238920000,0 - (40717820,0 + 58489080,0 + 37493000,0 + 55179600,0) + 8639340,0 + 9630540,0</v>
      </c>
      <c r="F40" s="23"/>
      <c r="G40" s="23"/>
      <c r="H40" s="20"/>
      <c r="I40" s="12"/>
      <c r="J40" s="12"/>
      <c r="K40" s="12"/>
      <c r="R40" s="19"/>
      <c r="S40" s="20" t="s">
        <v>117</v>
      </c>
      <c r="T40" s="23"/>
      <c r="U40" s="23" t="str">
        <f>_xlfn.CONCAT(TEXT($G$15,"0,0"), " - ",TEXT($G$14,"0,0"), " - ",TEXT($Q$20,"0,0")," + ",TEXT($Q$19,"0,0")," + ",TEXT($Q$21,"0,0"))</f>
        <v>448224000,0 - 419264100,0 - 39177500,0 + 11427500,0 + 11221000,0</v>
      </c>
      <c r="V40" s="23"/>
      <c r="W40" s="23"/>
      <c r="X40" s="20"/>
      <c r="Y40" s="12"/>
      <c r="AB40" s="19"/>
      <c r="AC40" s="20" t="s">
        <v>117</v>
      </c>
      <c r="AD40" s="23"/>
      <c r="AE40" s="23" t="str">
        <f>_xlfn.CONCAT(TEXT($G$16,"00,0"), " - ",TEXT($G$15,"00,0"), " - ",TEXT($Q$24,"00,0")," + ",TEXT($Q$22,"00,0")," + ",TEXT($Q$23,"00,0")," + ",TEXT($Q$25,"00,0"))</f>
        <v>517382400,0 - 448224000,0 - 36036400,0 + 3139500,0 + 10970260,0 + 12798480,0</v>
      </c>
      <c r="AF40" s="23"/>
      <c r="AG40" s="23"/>
      <c r="AH40" s="20"/>
      <c r="AI40" s="12"/>
      <c r="AJ40" s="12"/>
      <c r="AK40" s="12"/>
    </row>
    <row r="41" spans="1:37" x14ac:dyDescent="0.2">
      <c r="B41" s="19"/>
      <c r="C41" s="20"/>
      <c r="D41" s="20" t="str">
        <f>_xlfn.CONCAT(TEXT($G$13,"00,0"), " + (",TEXT($Q$13,"00,0"), " * ","(365 - ",TEXT($N$13,"0,0"),") / 365)"," + (",TEXT($Q$14,"00,0"), " * ","(365 - ",TEXT($N$14,"00,0"),") / 365)"," + (",TEXT($Q$15,"00,0"), " * ","(365 - ",TEXT($N$15,"00,0"),") / 365)"," + (",TEXT($Q$18,"00,0"), " * ","(365 - ",TEXT($N$18,"00,0"),") / 365)"," - (",TEXT($Q$16,"00,0"), " * ","(365 - ",TEXT($N$16,"00,0"),") / 365)"," - (",TEXT($Q$17,"00,0"), " * ","(365 - ",TEXT($N$17,"00,0"),") / 365)")</f>
        <v>238920000,0 + (40717820,0 * (365 - 42,0) / 365) + (58489080,0 * (365 - 127,0) / 365) + (37493000,0 * (365 - 127,0) / 365) + (55179600,0 * (365 - 330,0) / 365) - (8639340,0 * (365 - 147,0) / 365) - (9630540,0 * (365 - 306,0) / 365)</v>
      </c>
      <c r="E41" s="20"/>
      <c r="F41" s="20"/>
      <c r="G41" s="20"/>
      <c r="H41" s="20"/>
      <c r="I41" s="12"/>
      <c r="J41" s="12"/>
      <c r="K41" s="12"/>
      <c r="R41" s="19"/>
      <c r="S41" s="20"/>
      <c r="T41" s="20" t="str">
        <f>_xlfn.CONCAT(TEXT($G$14,"0,0")," + (",TEXT($Q$20,"0,0")," * ","(365 - ",TEXT($N$20,"0,0"),") / 365)"," - (",TEXT($Q$19,"0,0")," * (365 - ",TEXT($N$19,"0,0"),") / 365)"," - (",TEXT($Q$21,"0,0")," * (365 - ",TEXT($N$21,"0,0"),") / 365)")</f>
        <v>419264100,0 + (39177500,0 * (365 - 265,0) / 365) - (11427500,0 * (365 - 147,0) / 365) - (11221000,0 * (365 - 312,0) / 365)</v>
      </c>
      <c r="U41" s="20"/>
      <c r="V41" s="20"/>
      <c r="W41" s="20"/>
      <c r="X41" s="20"/>
      <c r="Y41" s="12"/>
      <c r="AB41" s="19"/>
      <c r="AC41" s="20"/>
      <c r="AD41" s="20" t="str">
        <f>_xlfn.CONCAT(TEXT($G$15,"00,0"), " + (",TEXT($Q$24,"00,0"), " * ","(366 - ",TEXT($N$24,"00,0"),") / 366)"," - (",TEXT($Q$22,"00,0"), " * ","(366 - ",TEXT($N$22,"0,0"),") / 366)"," - (",TEXT($Q$23,"00,0"), " * ","(366 - ",TEXT($N$23,"00,0"),") / 366)"," - (",TEXT($Q$25,"00,0"), " * ","(366 - ",TEXT($N$25,"00,0"),") / 366)")</f>
        <v>448224000,0 + (36036400,0 * (366 - 151,0) / 366) - (3139500,0 * (366 - 31,0) / 366) - (10970260,0 * (366 - 149,0) / 366) - (12798480,0 * (366 - 311,0) / 366)</v>
      </c>
      <c r="AE41" s="20"/>
      <c r="AF41" s="20"/>
      <c r="AG41" s="20"/>
      <c r="AH41" s="20"/>
      <c r="AI41" s="12"/>
      <c r="AJ41" s="12"/>
      <c r="AK41" s="12"/>
    </row>
    <row r="42" spans="1:37" x14ac:dyDescent="0.2">
      <c r="B42" s="19"/>
      <c r="C42" s="20"/>
      <c r="D42" s="20"/>
      <c r="E42" s="20"/>
      <c r="F42" s="20"/>
      <c r="G42" s="20"/>
      <c r="H42" s="20"/>
      <c r="I42" s="12"/>
      <c r="J42" s="12"/>
      <c r="K42" s="12"/>
      <c r="R42" s="19"/>
      <c r="S42" s="20"/>
      <c r="T42" s="20"/>
      <c r="U42" s="20"/>
      <c r="V42" s="20"/>
      <c r="W42" s="20"/>
      <c r="X42" s="20"/>
      <c r="Y42" s="12"/>
      <c r="AB42" s="19"/>
      <c r="AC42" s="20"/>
      <c r="AD42" s="20"/>
      <c r="AE42" s="20"/>
      <c r="AF42" s="20"/>
      <c r="AG42" s="20"/>
      <c r="AH42" s="20"/>
      <c r="AI42" s="12"/>
      <c r="AJ42" s="12"/>
      <c r="AK42" s="12"/>
    </row>
    <row r="43" spans="1:37" x14ac:dyDescent="0.2">
      <c r="B43" s="19"/>
      <c r="C43" s="20" t="s">
        <v>117</v>
      </c>
      <c r="D43" s="104">
        <f>$G$14 - $G$13 - ($Q$13 + $Q$14 + $Q$15 + $Q$18) + $Q$16 + $Q$17</f>
        <v>6734480</v>
      </c>
      <c r="E43" s="20"/>
      <c r="F43" s="20"/>
      <c r="G43" s="20"/>
      <c r="H43" s="20"/>
      <c r="I43" s="12"/>
      <c r="J43" s="12"/>
      <c r="K43" s="12"/>
      <c r="R43" s="19"/>
      <c r="S43" s="20" t="s">
        <v>117</v>
      </c>
      <c r="T43" s="104">
        <f>$G$15 - $G$14 - $Q$20 + $Q$19 + $Q$21</f>
        <v>12430900</v>
      </c>
      <c r="U43" s="20"/>
      <c r="V43" s="20"/>
      <c r="W43" s="20"/>
      <c r="X43" s="20"/>
      <c r="Y43" s="12"/>
      <c r="AB43" s="19"/>
      <c r="AC43" s="20" t="s">
        <v>117</v>
      </c>
      <c r="AD43" s="104">
        <f>$G$16-$G$15-$Q$24+$Q$22+$Q$23+$Q$25</f>
        <v>60030240</v>
      </c>
      <c r="AE43" s="20"/>
      <c r="AF43" s="20"/>
      <c r="AG43" s="20"/>
      <c r="AH43" s="20"/>
      <c r="AI43" s="12"/>
      <c r="AJ43" s="12"/>
      <c r="AK43" s="12"/>
    </row>
    <row r="44" spans="1:37" x14ac:dyDescent="0.2">
      <c r="B44" s="19"/>
      <c r="C44" s="20"/>
      <c r="D44" s="99">
        <f>$G$13 + ($Q$13 * (365 - $N$13) / 365) + ($Q$14 * (365 - $N$14) / 365) + ($Q$15 * (365 - $N$15) / 365) + ($Q$18 * (365 - $N$18) / 365) - ($Q$16 * (365 - $N$16) / 365) - ($Q$17 * (365 - $N$17) / 365)</f>
        <v>336112599.78082192</v>
      </c>
      <c r="E44" s="20"/>
      <c r="F44" s="20"/>
      <c r="G44" s="20"/>
      <c r="H44" s="20"/>
      <c r="I44" s="12"/>
      <c r="J44" s="12"/>
      <c r="K44" s="12"/>
      <c r="R44" s="19"/>
      <c r="S44" s="20"/>
      <c r="T44" s="99">
        <f>$G$14+($Q$20*(365-$N$20)/365)-($Q$19*(365-$N$19)/365)-($Q$21*(365-$N$21)/365)</f>
        <v>421543119.17808217</v>
      </c>
      <c r="U44" s="20"/>
      <c r="V44" s="20"/>
      <c r="W44" s="20"/>
      <c r="X44" s="20"/>
      <c r="Y44" s="12"/>
      <c r="AB44" s="19"/>
      <c r="AC44" s="20"/>
      <c r="AD44" s="99">
        <f>$G$15 + ($Q$24 * (366 - $N$24) / 366) - ($Q$22 * (366 - $N$22) / 366) - ($Q$23 * (366 - $N$23) / 366) - ($Q$25 * ((366 - $N$25) / 366))</f>
        <v>458091843.3879782</v>
      </c>
      <c r="AE44" s="20"/>
      <c r="AF44" s="20"/>
      <c r="AG44" s="20"/>
      <c r="AH44" s="20"/>
      <c r="AI44" s="12"/>
      <c r="AJ44" s="12"/>
      <c r="AK44" s="12"/>
    </row>
    <row r="45" spans="1:37" x14ac:dyDescent="0.2">
      <c r="B45" s="19"/>
      <c r="C45" s="20"/>
      <c r="D45" s="20"/>
      <c r="E45" s="20"/>
      <c r="F45" s="20"/>
      <c r="G45" s="20"/>
      <c r="H45" s="20"/>
      <c r="I45" s="12"/>
      <c r="J45" s="12"/>
      <c r="K45" s="12"/>
      <c r="R45" s="19"/>
      <c r="S45" s="20"/>
      <c r="T45" s="20"/>
      <c r="U45" s="20"/>
      <c r="V45" s="20"/>
      <c r="W45" s="20"/>
      <c r="X45" s="20"/>
      <c r="Y45" s="12"/>
      <c r="AB45" s="19"/>
      <c r="AC45" s="20"/>
      <c r="AD45" s="20"/>
      <c r="AE45" s="20"/>
      <c r="AF45" s="20"/>
      <c r="AG45" s="20"/>
      <c r="AH45" s="20"/>
      <c r="AI45" s="12"/>
      <c r="AJ45" s="12"/>
      <c r="AK45" s="12"/>
    </row>
    <row r="46" spans="1:37" x14ac:dyDescent="0.2">
      <c r="B46" s="26"/>
      <c r="C46" s="12" t="s">
        <v>117</v>
      </c>
      <c r="D46" s="25">
        <f>D43/D44</f>
        <v>2.0036380678354622E-2</v>
      </c>
      <c r="E46" s="20"/>
      <c r="F46" s="20"/>
      <c r="G46" s="20"/>
      <c r="H46" s="20"/>
      <c r="I46" s="12"/>
      <c r="J46" s="12"/>
      <c r="K46" s="12"/>
      <c r="R46" s="26"/>
      <c r="S46" s="12" t="s">
        <v>117</v>
      </c>
      <c r="T46" s="25">
        <f>T43/T44</f>
        <v>2.9489035485237108E-2</v>
      </c>
      <c r="U46" s="20"/>
      <c r="V46" s="20"/>
      <c r="W46" s="20"/>
      <c r="X46" s="20"/>
      <c r="Y46" s="12"/>
      <c r="AB46" s="26"/>
      <c r="AC46" s="12" t="s">
        <v>117</v>
      </c>
      <c r="AD46" s="25">
        <f>AD43/AD44</f>
        <v>0.1310441145514083</v>
      </c>
      <c r="AE46" s="20"/>
      <c r="AF46" s="20"/>
      <c r="AG46" s="20"/>
      <c r="AH46" s="20"/>
      <c r="AI46" s="12"/>
      <c r="AJ46" s="12"/>
      <c r="AK46" s="12"/>
    </row>
    <row r="47" spans="1:37" x14ac:dyDescent="0.2">
      <c r="B47" s="26"/>
      <c r="C47" s="12"/>
      <c r="D47" s="25"/>
      <c r="E47" s="20"/>
      <c r="F47" s="20"/>
      <c r="G47" s="20"/>
      <c r="H47" s="20"/>
      <c r="I47" s="12"/>
      <c r="J47" s="12"/>
      <c r="K47" s="12"/>
      <c r="R47" s="26"/>
      <c r="S47" s="12"/>
      <c r="T47" s="25"/>
      <c r="U47" s="20"/>
      <c r="V47" s="20"/>
      <c r="W47" s="20"/>
      <c r="X47" s="20"/>
      <c r="Y47" s="12"/>
      <c r="AB47" s="26"/>
      <c r="AC47" s="12"/>
      <c r="AD47" s="25"/>
      <c r="AE47" s="20"/>
      <c r="AF47" s="20"/>
      <c r="AG47" s="20"/>
      <c r="AH47" s="20"/>
      <c r="AI47" s="12"/>
      <c r="AJ47" s="12"/>
      <c r="AK47" s="12"/>
    </row>
    <row r="48" spans="1:37" x14ac:dyDescent="0.2">
      <c r="B48" s="10"/>
      <c r="R48" s="10"/>
      <c r="AB48" s="10"/>
    </row>
    <row r="49" spans="2:37" x14ac:dyDescent="0.2">
      <c r="B49" s="10"/>
      <c r="R49" s="10"/>
      <c r="AB49" s="10"/>
    </row>
    <row r="50" spans="2:37" x14ac:dyDescent="0.2">
      <c r="B50" s="10"/>
      <c r="R50" s="10"/>
      <c r="AB50" s="10"/>
    </row>
    <row r="51" spans="2:37" x14ac:dyDescent="0.2">
      <c r="B51" s="21" t="s">
        <v>115</v>
      </c>
      <c r="C51" s="27" t="s">
        <v>309</v>
      </c>
      <c r="D51" s="12"/>
      <c r="E51" s="12"/>
      <c r="F51" s="12"/>
      <c r="G51" s="12"/>
      <c r="H51" s="12"/>
      <c r="I51" s="12"/>
      <c r="J51" s="12"/>
      <c r="K51" s="12"/>
      <c r="R51" s="21" t="s">
        <v>115</v>
      </c>
      <c r="S51" s="27" t="s">
        <v>310</v>
      </c>
      <c r="T51" s="12"/>
      <c r="U51" s="12"/>
      <c r="V51" s="12"/>
      <c r="W51" s="12"/>
      <c r="X51" s="12"/>
      <c r="Y51" s="12"/>
      <c r="AB51" s="21" t="s">
        <v>115</v>
      </c>
      <c r="AC51" s="27" t="s">
        <v>311</v>
      </c>
      <c r="AD51" s="12"/>
      <c r="AE51" s="12"/>
      <c r="AF51" s="12"/>
      <c r="AG51" s="12"/>
      <c r="AH51" s="12"/>
      <c r="AI51" s="12"/>
      <c r="AJ51" s="12"/>
      <c r="AK51" s="12"/>
    </row>
    <row r="52" spans="2:37" x14ac:dyDescent="0.2">
      <c r="B52" s="26"/>
      <c r="C52" s="12"/>
      <c r="D52" s="12"/>
      <c r="E52" s="12"/>
      <c r="F52" s="12"/>
      <c r="G52" s="12"/>
      <c r="H52" s="12"/>
      <c r="I52" s="12"/>
      <c r="J52" s="12"/>
      <c r="K52" s="12"/>
      <c r="R52" s="26"/>
      <c r="S52" s="12"/>
      <c r="T52" s="12"/>
      <c r="U52" s="12"/>
      <c r="V52" s="12"/>
      <c r="W52" s="12"/>
      <c r="X52" s="12"/>
      <c r="Y52" s="12"/>
      <c r="AB52" s="26"/>
      <c r="AC52" s="12"/>
      <c r="AD52" s="12"/>
      <c r="AE52" s="12"/>
      <c r="AF52" s="12"/>
      <c r="AG52" s="12"/>
      <c r="AH52" s="12"/>
      <c r="AI52" s="12"/>
      <c r="AJ52" s="12"/>
      <c r="AK52" s="12"/>
    </row>
    <row r="53" spans="2:37" x14ac:dyDescent="0.2">
      <c r="B53" s="26" t="s">
        <v>91</v>
      </c>
      <c r="C53" s="20" t="s">
        <v>117</v>
      </c>
      <c r="D53" s="33" t="s">
        <v>121</v>
      </c>
      <c r="E53" s="33"/>
      <c r="F53" s="33"/>
      <c r="G53" s="12"/>
      <c r="H53" s="12"/>
      <c r="I53" s="12"/>
      <c r="J53" s="12"/>
      <c r="K53" s="12"/>
      <c r="R53" s="26" t="s">
        <v>91</v>
      </c>
      <c r="S53" s="20" t="s">
        <v>117</v>
      </c>
      <c r="T53" s="33" t="s">
        <v>121</v>
      </c>
      <c r="U53" s="33"/>
      <c r="V53" s="33"/>
      <c r="W53" s="12"/>
      <c r="X53" s="12"/>
      <c r="Y53" s="12"/>
      <c r="AB53" s="26" t="s">
        <v>91</v>
      </c>
      <c r="AC53" s="20" t="s">
        <v>117</v>
      </c>
      <c r="AD53" s="33" t="s">
        <v>121</v>
      </c>
      <c r="AE53" s="33"/>
      <c r="AF53" s="33"/>
      <c r="AG53" s="12"/>
      <c r="AH53" s="12"/>
      <c r="AI53" s="12"/>
      <c r="AJ53" s="12"/>
      <c r="AK53" s="12"/>
    </row>
    <row r="54" spans="2:37" x14ac:dyDescent="0.2">
      <c r="B54" s="26"/>
      <c r="C54" s="20"/>
      <c r="D54" s="12" t="s">
        <v>119</v>
      </c>
      <c r="E54" s="12"/>
      <c r="F54" s="12"/>
      <c r="G54" s="12"/>
      <c r="H54" s="12"/>
      <c r="I54" s="12"/>
      <c r="J54" s="12"/>
      <c r="K54" s="12"/>
      <c r="R54" s="26"/>
      <c r="S54" s="20"/>
      <c r="T54" s="12" t="s">
        <v>119</v>
      </c>
      <c r="U54" s="12"/>
      <c r="V54" s="12"/>
      <c r="W54" s="12"/>
      <c r="X54" s="12"/>
      <c r="Y54" s="12"/>
      <c r="AB54" s="26"/>
      <c r="AC54" s="20"/>
      <c r="AD54" s="12" t="s">
        <v>119</v>
      </c>
      <c r="AE54" s="12"/>
      <c r="AF54" s="12"/>
      <c r="AG54" s="12"/>
      <c r="AH54" s="12"/>
      <c r="AI54" s="12"/>
      <c r="AJ54" s="12"/>
      <c r="AK54" s="12"/>
    </row>
    <row r="55" spans="2:37" x14ac:dyDescent="0.2">
      <c r="B55" s="26"/>
      <c r="C55" s="12"/>
      <c r="D55" s="12"/>
      <c r="E55" s="12"/>
      <c r="F55" s="12"/>
      <c r="G55" s="12"/>
      <c r="H55" s="12"/>
      <c r="I55" s="12"/>
      <c r="J55" s="12"/>
      <c r="K55" s="12"/>
      <c r="R55" s="26"/>
      <c r="S55" s="12"/>
      <c r="T55" s="12"/>
      <c r="U55" s="12"/>
      <c r="V55" s="12"/>
      <c r="W55" s="12"/>
      <c r="X55" s="12"/>
      <c r="Y55" s="12"/>
      <c r="AB55" s="26"/>
      <c r="AC55" s="12"/>
      <c r="AD55" s="12"/>
      <c r="AE55" s="12"/>
      <c r="AF55" s="12"/>
      <c r="AG55" s="12"/>
      <c r="AH55" s="12"/>
      <c r="AI55" s="12"/>
      <c r="AJ55" s="12"/>
      <c r="AK55" s="12"/>
    </row>
    <row r="56" spans="2:37" x14ac:dyDescent="0.2">
      <c r="B56" s="12"/>
      <c r="C56" s="20" t="s">
        <v>117</v>
      </c>
      <c r="D56" s="23"/>
      <c r="E56" s="23" t="str">
        <f>_xlfn.CONCAT(TEXT($G$14,"00,0")," - ",TEXT($G$13,"00,0")," - (",TEXT($Q$13,"00,0")," + ",TEXT($Q$14,"00,0")," + ",TEXT($Q$15,"00,0")," + ",TEXT($Q$18,"00,0"),")")</f>
        <v>419264100,0 - 238920000,0 - (40717820,0 + 58489080,0 + 37493000,0 + 55179600,0)</v>
      </c>
      <c r="F56" s="23"/>
      <c r="G56" s="23"/>
      <c r="H56" s="20"/>
      <c r="I56" s="12"/>
      <c r="J56" s="12"/>
      <c r="K56" s="12"/>
      <c r="R56" s="12"/>
      <c r="S56" s="20" t="s">
        <v>117</v>
      </c>
      <c r="T56" s="23"/>
      <c r="U56" s="23" t="str">
        <f>_xlfn.CONCAT(TEXT($G$15,"0,0"), " - ",TEXT($G$14,"0,0"), " - ",TEXT($Q$20,"0,0"))</f>
        <v>448224000,0 - 419264100,0 - 39177500,0</v>
      </c>
      <c r="V56" s="23"/>
      <c r="W56" s="23"/>
      <c r="X56" s="20"/>
      <c r="Y56" s="12"/>
      <c r="AB56" s="12"/>
      <c r="AC56" s="20" t="s">
        <v>117</v>
      </c>
      <c r="AD56" s="23"/>
      <c r="AE56" s="23" t="str">
        <f>_xlfn.CONCAT(TEXT($G$16,"00,0"), " - ",TEXT($G$15,"00,0"), " - ",TEXT($Q$24,"00,0")," + ",TEXT($Q$22,"00,0"))</f>
        <v>517382400,0 - 448224000,0 - 36036400,0 + 3139500,0</v>
      </c>
      <c r="AF56" s="23"/>
      <c r="AG56" s="23"/>
      <c r="AH56" s="20"/>
      <c r="AI56" s="12"/>
      <c r="AJ56" s="12"/>
      <c r="AK56" s="12"/>
    </row>
    <row r="57" spans="2:37" x14ac:dyDescent="0.2">
      <c r="B57" s="26"/>
      <c r="C57" s="20"/>
      <c r="D57" s="20" t="str">
        <f>_xlfn.CONCAT(TEXT($G$13,"00,0"), " + (",TEXT($Q$13,"00,0"), " * ","(365 - ",TEXT($N$13,"0,0"),") / 365)"," + (",TEXT($Q$14,"00,0"), " * ","(365 - ",TEXT($N$14,"00,0"),") / 365)"," + (",TEXT($Q$15,"00,0"), " * ","(365 - ",TEXT($N$15,"00,0"),") / 365)"," + (",TEXT($Q$18,"00,0"), " * ","(365 - ",TEXT($N$18,"00,0"),") / 365)"," - (",TEXT($Q$16,"00,0"), " * ","(365 - ",TEXT($N$16,"00,0"),") / 365)"," - (",TEXT($Q$17,"00,0"), " * ","(365 - ",TEXT($N$17,"00,0"),") / 365)")</f>
        <v>238920000,0 + (40717820,0 * (365 - 42,0) / 365) + (58489080,0 * (365 - 127,0) / 365) + (37493000,0 * (365 - 127,0) / 365) + (55179600,0 * (365 - 330,0) / 365) - (8639340,0 * (365 - 147,0) / 365) - (9630540,0 * (365 - 306,0) / 365)</v>
      </c>
      <c r="E57" s="20"/>
      <c r="F57" s="20"/>
      <c r="G57" s="20"/>
      <c r="H57" s="20"/>
      <c r="I57" s="12"/>
      <c r="J57" s="12"/>
      <c r="K57" s="12"/>
      <c r="R57" s="26"/>
      <c r="S57" s="20"/>
      <c r="T57" s="20" t="str">
        <f>_xlfn.CONCAT(TEXT($G$14,"0,0")," + (",TEXT($Q$20,"0,0")," * ","(365 - ",TEXT($N$20,"0,0"),") / 365)"," - (",TEXT($Q$19,"0,0")," * (365 - ",TEXT($N$19,"0,0"),") / 365)"," - (",TEXT($Q$21,"0,0")," * (365 - ",TEXT($N$21,"0,0"),") / 365)")</f>
        <v>419264100,0 + (39177500,0 * (365 - 265,0) / 365) - (11427500,0 * (365 - 147,0) / 365) - (11221000,0 * (365 - 312,0) / 365)</v>
      </c>
      <c r="U57" s="20"/>
      <c r="V57" s="20"/>
      <c r="W57" s="20"/>
      <c r="X57" s="20"/>
      <c r="Y57" s="12"/>
      <c r="AB57" s="26"/>
      <c r="AC57" s="20"/>
      <c r="AD57" s="20" t="str">
        <f>_xlfn.CONCAT(TEXT($G$15,"00,0"), " + (",TEXT($Q$24,"00,0"), " * ","(366 - ",TEXT($N$24,"00,0"),") / 366)"," - (",TEXT($Q$22,"00,0"), " * ","(366 - ",TEXT($N$22,"0,0"),") / 366)"," - (",TEXT($Q$23,"00,0"), " * ","(366 - ",TEXT($N$23,"00,0"),") / 366)"," - (",TEXT($Q$25,"00,0"), " * ","(366 - ",TEXT($N$25,"00,0"),") / 366)")</f>
        <v>448224000,0 + (36036400,0 * (366 - 151,0) / 366) - (3139500,0 * (366 - 31,0) / 366) - (10970260,0 * (366 - 149,0) / 366) - (12798480,0 * (366 - 311,0) / 366)</v>
      </c>
      <c r="AE57" s="20"/>
      <c r="AF57" s="20"/>
      <c r="AG57" s="20"/>
      <c r="AH57" s="20"/>
      <c r="AI57" s="12"/>
      <c r="AJ57" s="12"/>
      <c r="AK57" s="12"/>
    </row>
    <row r="58" spans="2:37" x14ac:dyDescent="0.2">
      <c r="B58" s="26"/>
      <c r="C58" s="20"/>
      <c r="D58" s="20"/>
      <c r="E58" s="20"/>
      <c r="F58" s="20"/>
      <c r="G58" s="20"/>
      <c r="H58" s="20"/>
      <c r="I58" s="12"/>
      <c r="J58" s="12"/>
      <c r="K58" s="12"/>
      <c r="R58" s="26"/>
      <c r="S58" s="20"/>
      <c r="T58" s="20"/>
      <c r="U58" s="20"/>
      <c r="V58" s="20"/>
      <c r="W58" s="20"/>
      <c r="X58" s="20"/>
      <c r="Y58" s="12"/>
      <c r="AB58" s="26"/>
      <c r="AC58" s="20"/>
      <c r="AD58" s="20"/>
      <c r="AE58" s="20"/>
      <c r="AF58" s="20"/>
      <c r="AG58" s="20"/>
      <c r="AH58" s="20"/>
      <c r="AI58" s="12"/>
      <c r="AJ58" s="12"/>
      <c r="AK58" s="12"/>
    </row>
    <row r="59" spans="2:37" x14ac:dyDescent="0.2">
      <c r="B59" s="26"/>
      <c r="C59" s="20" t="s">
        <v>117</v>
      </c>
      <c r="D59" s="104">
        <f>$G$14 - $G$13 - ($Q$13 + $Q$14 + $Q$15 + $Q$18)</f>
        <v>-11535400</v>
      </c>
      <c r="E59" s="20"/>
      <c r="F59" s="20"/>
      <c r="G59" s="20"/>
      <c r="H59" s="20"/>
      <c r="I59" s="12"/>
      <c r="J59" s="12"/>
      <c r="K59" s="12"/>
      <c r="R59" s="26"/>
      <c r="S59" s="20" t="s">
        <v>117</v>
      </c>
      <c r="T59" s="104">
        <f>$G$15 - $G$14 - $Q$20</f>
        <v>-10217600</v>
      </c>
      <c r="U59" s="20"/>
      <c r="V59" s="20"/>
      <c r="W59" s="20"/>
      <c r="X59" s="20"/>
      <c r="Y59" s="12"/>
      <c r="AB59" s="26"/>
      <c r="AC59" s="20" t="s">
        <v>117</v>
      </c>
      <c r="AD59" s="104">
        <f>$G$16-$G$15-$Q$24+$Q$22</f>
        <v>36261500</v>
      </c>
      <c r="AE59" s="20"/>
      <c r="AF59" s="20"/>
      <c r="AG59" s="20"/>
      <c r="AH59" s="20"/>
      <c r="AI59" s="12"/>
      <c r="AJ59" s="12"/>
      <c r="AK59" s="12"/>
    </row>
    <row r="60" spans="2:37" x14ac:dyDescent="0.2">
      <c r="B60" s="26"/>
      <c r="C60" s="20"/>
      <c r="D60" s="99">
        <f>$G$13 + ($Q$13 * (365 - $N$13) / 365) + ($Q$14 * (365 - $N$14) / 365) + ($Q$15 * (365 - $N$15) / 365) + ($Q$18 * (365 - $N$18) / 365) - ($Q$16 * (365 - $N$16) / 365) - ($Q$17 * (365 - $N$17) / 365)</f>
        <v>336112599.78082192</v>
      </c>
      <c r="E60" s="20"/>
      <c r="F60" s="20"/>
      <c r="G60" s="20"/>
      <c r="H60" s="20"/>
      <c r="I60" s="12"/>
      <c r="J60" s="12"/>
      <c r="K60" s="12"/>
      <c r="R60" s="26"/>
      <c r="S60" s="20"/>
      <c r="T60" s="99">
        <f>$G$14+($Q$20*(365-$N$20)/365)-($Q$19*(365-$N$19)/365)-($Q$21*(365-$N$21)/365)</f>
        <v>421543119.17808217</v>
      </c>
      <c r="U60" s="20"/>
      <c r="V60" s="20"/>
      <c r="W60" s="20"/>
      <c r="X60" s="20"/>
      <c r="Y60" s="12"/>
      <c r="AB60" s="26"/>
      <c r="AC60" s="20"/>
      <c r="AD60" s="99">
        <f>$G$15 + ($Q$24 * (366 - $N$24) / 366) - ($Q$22 * (366 - $N$22) / 366) - ($Q$23 * (366 - $N$23) / 366) - ($Q$25 * ((366 - $N$25) / 366))</f>
        <v>458091843.3879782</v>
      </c>
      <c r="AE60" s="20"/>
      <c r="AF60" s="20"/>
      <c r="AG60" s="20"/>
      <c r="AH60" s="20"/>
      <c r="AI60" s="12"/>
      <c r="AJ60" s="12"/>
      <c r="AK60" s="12"/>
    </row>
    <row r="61" spans="2:37" x14ac:dyDescent="0.2">
      <c r="B61" s="26"/>
      <c r="C61" s="20"/>
      <c r="D61" s="20"/>
      <c r="E61" s="20"/>
      <c r="F61" s="20"/>
      <c r="G61" s="20"/>
      <c r="H61" s="20"/>
      <c r="I61" s="12"/>
      <c r="J61" s="12"/>
      <c r="K61" s="12"/>
      <c r="R61" s="26"/>
      <c r="S61" s="20"/>
      <c r="T61" s="20"/>
      <c r="U61" s="20"/>
      <c r="V61" s="20"/>
      <c r="W61" s="20"/>
      <c r="X61" s="20"/>
      <c r="Y61" s="12"/>
      <c r="AB61" s="26"/>
      <c r="AC61" s="20"/>
      <c r="AD61" s="20"/>
      <c r="AE61" s="20"/>
      <c r="AF61" s="20"/>
      <c r="AG61" s="20"/>
      <c r="AH61" s="20"/>
      <c r="AI61" s="12"/>
      <c r="AJ61" s="12"/>
      <c r="AK61" s="12"/>
    </row>
    <row r="62" spans="2:37" x14ac:dyDescent="0.2">
      <c r="B62" s="26"/>
      <c r="C62" s="12" t="s">
        <v>117</v>
      </c>
      <c r="D62" s="25">
        <f>D59/D60</f>
        <v>-3.4320046340191361E-2</v>
      </c>
      <c r="E62" s="20"/>
      <c r="F62" s="20"/>
      <c r="G62" s="20"/>
      <c r="H62" s="20"/>
      <c r="I62" s="12"/>
      <c r="J62" s="12"/>
      <c r="K62" s="12"/>
      <c r="R62" s="26"/>
      <c r="S62" s="12" t="s">
        <v>117</v>
      </c>
      <c r="T62" s="25">
        <f>T59/T60</f>
        <v>-2.4238564301374693E-2</v>
      </c>
      <c r="U62" s="20"/>
      <c r="V62" s="20"/>
      <c r="W62" s="20"/>
      <c r="X62" s="20"/>
      <c r="Y62" s="12"/>
      <c r="AB62" s="26"/>
      <c r="AC62" s="12" t="s">
        <v>117</v>
      </c>
      <c r="AD62" s="25">
        <f>AD59/AD60</f>
        <v>7.9157707179013298E-2</v>
      </c>
      <c r="AE62" s="20"/>
      <c r="AF62" s="20"/>
      <c r="AG62" s="20"/>
      <c r="AH62" s="20"/>
      <c r="AI62" s="12"/>
      <c r="AJ62" s="12"/>
      <c r="AK62" s="12"/>
    </row>
    <row r="63" spans="2:37" x14ac:dyDescent="0.2">
      <c r="B63" s="26"/>
      <c r="C63" s="12"/>
      <c r="D63" s="25"/>
      <c r="E63" s="20"/>
      <c r="F63" s="20"/>
      <c r="G63" s="20"/>
      <c r="H63" s="20"/>
      <c r="I63" s="12"/>
      <c r="J63" s="12"/>
      <c r="K63" s="12"/>
      <c r="R63" s="26"/>
      <c r="S63" s="12"/>
      <c r="T63" s="25"/>
      <c r="U63" s="20"/>
      <c r="V63" s="20"/>
      <c r="W63" s="20"/>
      <c r="X63" s="20"/>
      <c r="Y63" s="12"/>
      <c r="AB63" s="26"/>
      <c r="AC63" s="12"/>
      <c r="AD63" s="25"/>
      <c r="AE63" s="20"/>
      <c r="AF63" s="20"/>
      <c r="AG63" s="20"/>
      <c r="AH63" s="20"/>
      <c r="AI63" s="12"/>
      <c r="AJ63" s="12"/>
      <c r="AK63" s="12"/>
    </row>
    <row r="64" spans="2:37" x14ac:dyDescent="0.2">
      <c r="B64" s="10"/>
      <c r="R64" s="10"/>
      <c r="AB64" s="10"/>
    </row>
    <row r="65" spans="2:37" x14ac:dyDescent="0.2">
      <c r="B65" s="10"/>
      <c r="R65" s="10"/>
      <c r="AB65" s="10"/>
    </row>
    <row r="66" spans="2:37" x14ac:dyDescent="0.2">
      <c r="B66" s="10"/>
      <c r="R66" s="10"/>
      <c r="AB66" s="10"/>
    </row>
    <row r="67" spans="2:37" x14ac:dyDescent="0.2">
      <c r="B67" s="21" t="s">
        <v>115</v>
      </c>
      <c r="C67" s="27" t="s">
        <v>312</v>
      </c>
      <c r="D67" s="12"/>
      <c r="E67" s="12"/>
      <c r="F67" s="12"/>
      <c r="G67" s="12"/>
      <c r="H67" s="12"/>
      <c r="I67" s="12"/>
      <c r="J67" s="12"/>
      <c r="K67" s="12"/>
      <c r="R67" s="21" t="s">
        <v>115</v>
      </c>
      <c r="S67" s="27" t="s">
        <v>313</v>
      </c>
      <c r="T67" s="12"/>
      <c r="U67" s="12"/>
      <c r="V67" s="12"/>
      <c r="W67" s="12"/>
      <c r="X67" s="12"/>
      <c r="Y67" s="12"/>
      <c r="AB67" s="21" t="s">
        <v>115</v>
      </c>
      <c r="AC67" s="27" t="s">
        <v>314</v>
      </c>
      <c r="AD67" s="12"/>
      <c r="AE67" s="12"/>
      <c r="AF67" s="12"/>
      <c r="AG67" s="12"/>
      <c r="AH67" s="12"/>
      <c r="AI67" s="12"/>
      <c r="AJ67" s="12"/>
      <c r="AK67" s="12"/>
    </row>
    <row r="68" spans="2:37" x14ac:dyDescent="0.2">
      <c r="B68" s="26"/>
      <c r="C68" s="12"/>
      <c r="D68" s="12"/>
      <c r="E68" s="12"/>
      <c r="F68" s="12"/>
      <c r="G68" s="12"/>
      <c r="H68" s="12"/>
      <c r="I68" s="12"/>
      <c r="J68" s="12"/>
      <c r="K68" s="12"/>
      <c r="R68" s="26"/>
      <c r="S68" s="12"/>
      <c r="T68" s="12"/>
      <c r="U68" s="12"/>
      <c r="V68" s="12"/>
      <c r="W68" s="12"/>
      <c r="X68" s="12"/>
      <c r="Y68" s="12"/>
      <c r="AB68" s="26"/>
      <c r="AC68" s="12"/>
      <c r="AD68" s="12"/>
      <c r="AE68" s="12"/>
      <c r="AF68" s="12"/>
      <c r="AG68" s="12"/>
      <c r="AH68" s="12"/>
      <c r="AI68" s="12"/>
      <c r="AJ68" s="12"/>
      <c r="AK68" s="12"/>
    </row>
    <row r="69" spans="2:37" x14ac:dyDescent="0.2">
      <c r="B69" s="26" t="s">
        <v>95</v>
      </c>
      <c r="C69" s="20" t="s">
        <v>117</v>
      </c>
      <c r="D69" s="34" t="s">
        <v>123</v>
      </c>
      <c r="E69" s="33"/>
      <c r="F69" s="33"/>
      <c r="G69" s="12"/>
      <c r="H69" s="12"/>
      <c r="I69" s="12"/>
      <c r="J69" s="12"/>
      <c r="K69" s="12"/>
      <c r="R69" s="26" t="s">
        <v>95</v>
      </c>
      <c r="S69" s="20" t="s">
        <v>117</v>
      </c>
      <c r="T69" s="34" t="s">
        <v>123</v>
      </c>
      <c r="U69" s="33"/>
      <c r="V69" s="33"/>
      <c r="W69" s="12"/>
      <c r="X69" s="12"/>
      <c r="Y69" s="12"/>
      <c r="AB69" s="26" t="s">
        <v>95</v>
      </c>
      <c r="AC69" s="20" t="s">
        <v>117</v>
      </c>
      <c r="AD69" s="34" t="s">
        <v>123</v>
      </c>
      <c r="AE69" s="33"/>
      <c r="AF69" s="33"/>
      <c r="AG69" s="12"/>
      <c r="AH69" s="12"/>
      <c r="AI69" s="12"/>
      <c r="AJ69" s="12"/>
      <c r="AK69" s="12"/>
    </row>
    <row r="70" spans="2:37" x14ac:dyDescent="0.2">
      <c r="B70" s="26"/>
      <c r="C70" s="20"/>
      <c r="D70" s="12" t="s">
        <v>119</v>
      </c>
      <c r="E70" s="12"/>
      <c r="F70" s="12"/>
      <c r="G70" s="12"/>
      <c r="H70" s="12"/>
      <c r="I70" s="12"/>
      <c r="J70" s="12"/>
      <c r="K70" s="12"/>
      <c r="R70" s="26"/>
      <c r="S70" s="20"/>
      <c r="T70" s="12" t="s">
        <v>119</v>
      </c>
      <c r="U70" s="12"/>
      <c r="V70" s="12"/>
      <c r="W70" s="12"/>
      <c r="X70" s="12"/>
      <c r="Y70" s="12"/>
      <c r="AB70" s="26"/>
      <c r="AC70" s="20"/>
      <c r="AD70" s="12" t="s">
        <v>119</v>
      </c>
      <c r="AE70" s="12"/>
      <c r="AF70" s="12"/>
      <c r="AG70" s="12"/>
      <c r="AH70" s="12"/>
      <c r="AI70" s="12"/>
      <c r="AJ70" s="12"/>
      <c r="AK70" s="12"/>
    </row>
    <row r="71" spans="2:37" x14ac:dyDescent="0.2">
      <c r="B71" s="26"/>
      <c r="C71" s="12"/>
      <c r="D71" s="12"/>
      <c r="E71" s="12"/>
      <c r="F71" s="12"/>
      <c r="G71" s="12"/>
      <c r="H71" s="12"/>
      <c r="I71" s="12"/>
      <c r="J71" s="12"/>
      <c r="K71" s="12"/>
      <c r="R71" s="26"/>
      <c r="S71" s="12"/>
      <c r="T71" s="12"/>
      <c r="U71" s="12"/>
      <c r="V71" s="12"/>
      <c r="W71" s="12"/>
      <c r="X71" s="12"/>
      <c r="Y71" s="12"/>
      <c r="AB71" s="26"/>
      <c r="AC71" s="12"/>
      <c r="AD71" s="12"/>
      <c r="AE71" s="12"/>
      <c r="AF71" s="12"/>
      <c r="AG71" s="12"/>
      <c r="AH71" s="12"/>
      <c r="AI71" s="12"/>
      <c r="AJ71" s="12"/>
      <c r="AK71" s="12"/>
    </row>
    <row r="72" spans="2:37" x14ac:dyDescent="0.2">
      <c r="B72" s="26"/>
      <c r="C72" s="20" t="s">
        <v>117</v>
      </c>
      <c r="D72" s="23"/>
      <c r="E72" s="23" t="str">
        <f>_xlfn.CONCAT(TEXT($Q$16,"00,0")," + ",TEXT($Q$17,"00,0"))</f>
        <v>8639340,0 + 9630540,0</v>
      </c>
      <c r="F72" s="23"/>
      <c r="G72" s="23"/>
      <c r="H72" s="12"/>
      <c r="I72" s="12"/>
      <c r="J72" s="12"/>
      <c r="K72" s="12"/>
      <c r="R72" s="26"/>
      <c r="S72" s="20" t="s">
        <v>117</v>
      </c>
      <c r="T72" s="23"/>
      <c r="U72" s="23" t="str">
        <f>_xlfn.CONCAT(,TEXT($Q$19,"0,0")," + ",TEXT($Q$21,"0,0"))</f>
        <v>11427500,0 + 11221000,0</v>
      </c>
      <c r="V72" s="23"/>
      <c r="W72" s="23"/>
      <c r="X72" s="12"/>
      <c r="Y72" s="12"/>
      <c r="AB72" s="26"/>
      <c r="AC72" s="20" t="s">
        <v>117</v>
      </c>
      <c r="AD72" s="23"/>
      <c r="AE72" s="23" t="str">
        <f>_xlfn.CONCAT(TEXT($Q$23,"00,0")," + ",TEXT($Q$25,"00,0"))</f>
        <v>10970260,0 + 12798480,0</v>
      </c>
      <c r="AF72" s="23"/>
      <c r="AG72" s="23"/>
      <c r="AH72" s="12"/>
      <c r="AI72" s="12"/>
      <c r="AJ72" s="12"/>
      <c r="AK72" s="12"/>
    </row>
    <row r="73" spans="2:37" x14ac:dyDescent="0.2">
      <c r="B73" s="26"/>
      <c r="C73" s="20"/>
      <c r="D73" s="20" t="str">
        <f>_xlfn.CONCAT(TEXT($G$13,"00,0"), " + (",TEXT($Q$13,"00,0"), " * ","(365 - ",TEXT($N$13,"0,0"),") / 365)"," + (",TEXT($Q$14,"00,0"), " * ","(365 - ",TEXT($N$14,"00,0"),") / 365)"," + (",TEXT($Q$15,"00,0"), " * ","(365 - ",TEXT($N$15,"00,0"),") / 365)"," + (",TEXT($Q$18,"00,0"), " * ","(365 - ",TEXT($N$18,"00,0"),") / 365)"," - (",TEXT($Q$16,"00,0"), " * ","(365 - ",TEXT($N$16,"00,0"),") / 365)"," - (",TEXT($Q$17,"00,0"), " * ","(365 - ",TEXT($N$17,"00,0"),") / 365)")</f>
        <v>238920000,0 + (40717820,0 * (365 - 42,0) / 365) + (58489080,0 * (365 - 127,0) / 365) + (37493000,0 * (365 - 127,0) / 365) + (55179600,0 * (365 - 330,0) / 365) - (8639340,0 * (365 - 147,0) / 365) - (9630540,0 * (365 - 306,0) / 365)</v>
      </c>
      <c r="E73" s="20"/>
      <c r="F73" s="20"/>
      <c r="G73" s="20"/>
      <c r="H73" s="12"/>
      <c r="I73" s="12"/>
      <c r="J73" s="12"/>
      <c r="K73" s="12"/>
      <c r="R73" s="26"/>
      <c r="S73" s="20"/>
      <c r="T73" s="20" t="str">
        <f>_xlfn.CONCAT(TEXT($G$14,"0,0")," + (",TEXT($Q$20,"0,0")," * ","(365 - ",TEXT($N$20,"0,0"),") / 365)"," - (",TEXT($Q$19,"0,0")," * (365 - ",TEXT($N$19,"0,0"),") / 365)"," - (",TEXT($Q$21,"0,0")," * (365 - ",TEXT($N$21,"0,0"),") / 365)")</f>
        <v>419264100,0 + (39177500,0 * (365 - 265,0) / 365) - (11427500,0 * (365 - 147,0) / 365) - (11221000,0 * (365 - 312,0) / 365)</v>
      </c>
      <c r="U73" s="20"/>
      <c r="V73" s="20"/>
      <c r="W73" s="20"/>
      <c r="X73" s="12"/>
      <c r="Y73" s="12"/>
      <c r="AB73" s="26"/>
      <c r="AC73" s="20"/>
      <c r="AD73" s="20" t="str">
        <f>_xlfn.CONCAT(TEXT($G$15,"00,0"), " + (",TEXT($Q$24,"00,0"), " * ","(366 - ",TEXT($N$24,"00,0"),") / 366)"," - (",TEXT($Q$22,"00,0"), " * ","(366 - ",TEXT($N$22,"0,0"),") / 366)"," - (",TEXT($Q$23,"00,0"), " * ","(366 - ",TEXT($N$23,"00,0"),") / 366)"," - (",TEXT($Q$25,"00,0"), " * ","(366 - ",TEXT($N$25,"00,0"),") / 366)")</f>
        <v>448224000,0 + (36036400,0 * (366 - 151,0) / 366) - (3139500,0 * (366 - 31,0) / 366) - (10970260,0 * (366 - 149,0) / 366) - (12798480,0 * (366 - 311,0) / 366)</v>
      </c>
      <c r="AE73" s="20"/>
      <c r="AF73" s="20"/>
      <c r="AG73" s="20"/>
      <c r="AH73" s="12"/>
      <c r="AI73" s="12"/>
      <c r="AJ73" s="12"/>
      <c r="AK73" s="12"/>
    </row>
    <row r="74" spans="2:37" x14ac:dyDescent="0.2">
      <c r="B74" s="26"/>
      <c r="C74" s="20"/>
      <c r="D74" s="20"/>
      <c r="E74" s="20"/>
      <c r="F74" s="20"/>
      <c r="G74" s="20"/>
      <c r="H74" s="12"/>
      <c r="I74" s="12"/>
      <c r="J74" s="12"/>
      <c r="K74" s="12"/>
      <c r="R74" s="26"/>
      <c r="S74" s="20"/>
      <c r="T74" s="20"/>
      <c r="U74" s="20"/>
      <c r="V74" s="20"/>
      <c r="W74" s="20"/>
      <c r="X74" s="12"/>
      <c r="Y74" s="12"/>
      <c r="AB74" s="26"/>
      <c r="AC74" s="20"/>
      <c r="AD74" s="20"/>
      <c r="AE74" s="20"/>
      <c r="AF74" s="20"/>
      <c r="AG74" s="20"/>
      <c r="AH74" s="12"/>
      <c r="AI74" s="12"/>
      <c r="AJ74" s="12"/>
      <c r="AK74" s="12"/>
    </row>
    <row r="75" spans="2:37" x14ac:dyDescent="0.2">
      <c r="B75" s="26"/>
      <c r="C75" s="20" t="s">
        <v>117</v>
      </c>
      <c r="D75" s="104">
        <f>$Q$16 + $Q$17</f>
        <v>18269880</v>
      </c>
      <c r="E75" s="20"/>
      <c r="F75" s="20"/>
      <c r="G75" s="12"/>
      <c r="H75" s="12"/>
      <c r="I75" s="12"/>
      <c r="J75" s="12"/>
      <c r="K75" s="12"/>
      <c r="R75" s="26"/>
      <c r="S75" s="20" t="s">
        <v>117</v>
      </c>
      <c r="T75" s="104">
        <f>$Q$19 + $Q$21</f>
        <v>22648500</v>
      </c>
      <c r="U75" s="20"/>
      <c r="V75" s="20"/>
      <c r="W75" s="12"/>
      <c r="X75" s="12"/>
      <c r="Y75" s="12"/>
      <c r="AB75" s="26"/>
      <c r="AC75" s="20" t="s">
        <v>117</v>
      </c>
      <c r="AD75" s="104">
        <f>$Q$23+$Q$25</f>
        <v>23768740</v>
      </c>
      <c r="AE75" s="20"/>
      <c r="AF75" s="20"/>
      <c r="AG75" s="12"/>
      <c r="AH75" s="12"/>
      <c r="AI75" s="12"/>
      <c r="AJ75" s="12"/>
      <c r="AK75" s="12"/>
    </row>
    <row r="76" spans="2:37" x14ac:dyDescent="0.2">
      <c r="B76" s="26"/>
      <c r="C76" s="20"/>
      <c r="D76" s="99">
        <f>$G$13 + ($Q$13 * (365 - $N$13) / 365) + ($Q$14 * (365 - $N$14) / 365) + ($Q$15 * (365 - $N$15) / 365) + ($Q$18 * (365 - $N$18) / 365) - ($Q$16 * (365 - $N$16) / 365) - ($Q$17 * (365 - $N$17) / 365)</f>
        <v>336112599.78082192</v>
      </c>
      <c r="E76" s="20"/>
      <c r="F76" s="20"/>
      <c r="G76" s="12"/>
      <c r="H76" s="12"/>
      <c r="I76" s="12"/>
      <c r="J76" s="12"/>
      <c r="K76" s="12"/>
      <c r="R76" s="26"/>
      <c r="S76" s="20"/>
      <c r="T76" s="99">
        <f>$G$14+($Q$20*(365-$N$20)/365)-($Q$19*(365-$N$19)/365)-($Q$21*(365-$N$21)/365)</f>
        <v>421543119.17808217</v>
      </c>
      <c r="U76" s="20"/>
      <c r="V76" s="20"/>
      <c r="W76" s="12"/>
      <c r="X76" s="12"/>
      <c r="Y76" s="12"/>
      <c r="AB76" s="26"/>
      <c r="AC76" s="20"/>
      <c r="AD76" s="99">
        <f>$G$15 + ($Q$24 * (366 - $N$24) / 366) - ($Q$22 * (366 - $N$22) / 366) - ($Q$23 * (366 - $N$23) / 366) - ($Q$25 * ((366 - $N$25) / 366))</f>
        <v>458091843.3879782</v>
      </c>
      <c r="AE76" s="20"/>
      <c r="AF76" s="20"/>
      <c r="AG76" s="12"/>
      <c r="AH76" s="12"/>
      <c r="AI76" s="12"/>
      <c r="AJ76" s="12"/>
      <c r="AK76" s="12"/>
    </row>
    <row r="77" spans="2:37" x14ac:dyDescent="0.2">
      <c r="B77" s="12"/>
      <c r="C77" s="20"/>
      <c r="D77" s="20"/>
      <c r="E77" s="20"/>
      <c r="F77" s="20"/>
      <c r="G77" s="12"/>
      <c r="H77" s="12"/>
      <c r="I77" s="12"/>
      <c r="J77" s="12"/>
      <c r="K77" s="12"/>
      <c r="R77" s="12"/>
      <c r="S77" s="20"/>
      <c r="T77" s="20"/>
      <c r="U77" s="20"/>
      <c r="V77" s="20"/>
      <c r="W77" s="12"/>
      <c r="X77" s="12"/>
      <c r="Y77" s="12"/>
      <c r="AB77" s="12"/>
      <c r="AC77" s="20"/>
      <c r="AD77" s="20"/>
      <c r="AE77" s="20"/>
      <c r="AF77" s="20"/>
      <c r="AG77" s="12"/>
      <c r="AH77" s="12"/>
      <c r="AI77" s="12"/>
      <c r="AJ77" s="12"/>
      <c r="AK77" s="12"/>
    </row>
    <row r="78" spans="2:37" x14ac:dyDescent="0.2">
      <c r="B78" s="12"/>
      <c r="C78" s="12" t="s">
        <v>117</v>
      </c>
      <c r="D78" s="25">
        <f>D75/D76</f>
        <v>5.4356427018545976E-2</v>
      </c>
      <c r="E78" s="20"/>
      <c r="F78" s="20"/>
      <c r="G78" s="12"/>
      <c r="H78" s="12"/>
      <c r="I78" s="12"/>
      <c r="J78" s="12"/>
      <c r="K78" s="12"/>
      <c r="R78" s="12"/>
      <c r="S78" s="12" t="s">
        <v>117</v>
      </c>
      <c r="T78" s="25">
        <f>T75/T76</f>
        <v>5.3727599786611797E-2</v>
      </c>
      <c r="U78" s="20"/>
      <c r="V78" s="20"/>
      <c r="W78" s="12"/>
      <c r="X78" s="12"/>
      <c r="Y78" s="12"/>
      <c r="AB78" s="12"/>
      <c r="AC78" s="12" t="s">
        <v>117</v>
      </c>
      <c r="AD78" s="25">
        <f>AD75/AD76</f>
        <v>5.1886407372394985E-2</v>
      </c>
      <c r="AE78" s="20"/>
      <c r="AF78" s="20"/>
      <c r="AG78" s="12"/>
      <c r="AH78" s="12"/>
      <c r="AI78" s="12"/>
      <c r="AJ78" s="12"/>
      <c r="AK78" s="12"/>
    </row>
    <row r="79" spans="2:37" x14ac:dyDescent="0.2">
      <c r="B79" s="12"/>
      <c r="C79" s="12"/>
      <c r="D79" s="25"/>
      <c r="E79" s="20"/>
      <c r="F79" s="20"/>
      <c r="G79" s="12"/>
      <c r="H79" s="12"/>
      <c r="I79" s="12"/>
      <c r="J79" s="12"/>
      <c r="K79" s="12"/>
      <c r="R79" s="12"/>
      <c r="S79" s="12"/>
      <c r="T79" s="25"/>
      <c r="U79" s="20"/>
      <c r="V79" s="20"/>
      <c r="W79" s="12"/>
      <c r="X79" s="12"/>
      <c r="Y79" s="12"/>
      <c r="AB79" s="12"/>
      <c r="AC79" s="12"/>
      <c r="AD79" s="25"/>
      <c r="AE79" s="20"/>
      <c r="AF79" s="20"/>
      <c r="AG79" s="12"/>
      <c r="AH79" s="12"/>
      <c r="AI79" s="12"/>
      <c r="AJ79" s="12"/>
      <c r="AK79" s="12"/>
    </row>
  </sheetData>
  <mergeCells count="3">
    <mergeCell ref="S25:V31"/>
    <mergeCell ref="X21:Y23"/>
    <mergeCell ref="F4:P7"/>
  </mergeCells>
  <hyperlinks>
    <hyperlink ref="I1:M1" location="'Table of Contents'!A1" display="Back to Table of Contents" xr:uid="{A0E73F9A-5BDE-4F0B-9FE1-1DAA98E448D0}"/>
    <hyperlink ref="X21:Y23" r:id="rId1" location="inrev-guidelines" display="For more information about Performance Measurement visit the INREV Guidelines on Performance Measurement." xr:uid="{88E3C436-4894-4404-9AA1-948E391B5C80}"/>
    <hyperlink ref="T20" location="'Single year return 2010'!A1" display="Single year return 2010" xr:uid="{E95D8B45-031E-45FF-A48F-714E2E37D7F1}"/>
    <hyperlink ref="U20" location="'Single year return 2011'!A1" display="Single year return 2011" xr:uid="{D19F7BB6-B55E-474F-B8A0-7B9D10246A42}"/>
    <hyperlink ref="V20" location="'Single year return 2012'!A1" display="Single year return 2012" xr:uid="{FC520C9C-A917-4409-834D-BAACAC6684CA}"/>
  </hyperlinks>
  <pageMargins left="0.7" right="0.7" top="0.75" bottom="0.75" header="0.3" footer="0.3"/>
  <pageSetup paperSize="9" orientation="portrait" verticalDpi="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2DF7D-949F-42B9-8552-7E1245520083}">
  <sheetPr>
    <tabColor theme="7"/>
  </sheetPr>
  <dimension ref="A1:AB78"/>
  <sheetViews>
    <sheetView showGridLines="0" zoomScale="73" zoomScaleNormal="100" zoomScalePageLayoutView="85" workbookViewId="0">
      <pane ySplit="7" topLeftCell="A37" activePane="bottomLeft" state="frozen"/>
      <selection activeCell="A10" sqref="A10:L75"/>
      <selection pane="bottomLeft"/>
    </sheetView>
  </sheetViews>
  <sheetFormatPr defaultColWidth="8.7109375" defaultRowHeight="12.75" x14ac:dyDescent="0.2"/>
  <cols>
    <col min="1" max="1" width="7.28515625" style="7" customWidth="1"/>
    <col min="2" max="2" width="22.28515625" customWidth="1"/>
    <col min="3" max="3" width="15.42578125" customWidth="1"/>
    <col min="4" max="4" width="23.7109375" customWidth="1"/>
    <col min="5" max="5" width="14.85546875" customWidth="1"/>
    <col min="6" max="7" width="21.7109375" customWidth="1"/>
    <col min="8" max="8" width="9.28515625" customWidth="1"/>
    <col min="9" max="9" width="11.7109375" bestFit="1" customWidth="1"/>
    <col min="10" max="11" width="11.28515625" bestFit="1" customWidth="1"/>
    <col min="12" max="13" width="7.5703125" customWidth="1"/>
    <col min="14" max="14" width="9" customWidth="1"/>
    <col min="15" max="15" width="7.5703125" customWidth="1"/>
    <col min="16" max="16" width="15.28515625" customWidth="1"/>
    <col min="17" max="17" width="16" customWidth="1"/>
    <col min="18" max="18" width="33.85546875" customWidth="1"/>
    <col min="19" max="19" width="21.7109375" bestFit="1" customWidth="1"/>
    <col min="23" max="23" width="46.28515625" bestFit="1" customWidth="1"/>
  </cols>
  <sheetData>
    <row r="1" spans="1:28" s="1" customFormat="1" ht="34.9" customHeight="1" x14ac:dyDescent="0.2">
      <c r="A1" s="6"/>
      <c r="B1" s="2" t="str">
        <f ca="1">MID(CELL("filename",A1),FIND("]",CELL("filename",A1))+ 1,255)&amp;" - calculation example"</f>
        <v>Curr. conv. Multiyear two funds - calculation example</v>
      </c>
      <c r="I1" s="143" t="s">
        <v>68</v>
      </c>
      <c r="J1" s="143"/>
      <c r="K1" s="143"/>
      <c r="L1" s="143"/>
      <c r="M1" s="143"/>
    </row>
    <row r="3" spans="1:28" x14ac:dyDescent="0.2">
      <c r="A3"/>
    </row>
    <row r="4" spans="1:28" ht="12.75" customHeight="1" x14ac:dyDescent="0.2">
      <c r="A4"/>
      <c r="B4" s="12" t="s">
        <v>69</v>
      </c>
      <c r="C4" s="12" t="s">
        <v>70</v>
      </c>
      <c r="D4" s="12" t="s">
        <v>134</v>
      </c>
      <c r="H4" s="186" t="s">
        <v>295</v>
      </c>
      <c r="I4" s="186"/>
      <c r="J4" s="186"/>
      <c r="K4" s="186"/>
      <c r="L4" s="186"/>
      <c r="M4" s="186"/>
      <c r="N4" s="186"/>
      <c r="O4" s="186"/>
      <c r="P4" s="186"/>
      <c r="Q4" s="186"/>
      <c r="R4" s="186"/>
    </row>
    <row r="5" spans="1:28" x14ac:dyDescent="0.2">
      <c r="A5"/>
      <c r="B5" s="12" t="s">
        <v>72</v>
      </c>
      <c r="C5" s="12" t="s">
        <v>73</v>
      </c>
      <c r="D5" s="12" t="s">
        <v>320</v>
      </c>
      <c r="H5" s="186"/>
      <c r="I5" s="186"/>
      <c r="J5" s="186"/>
      <c r="K5" s="186"/>
      <c r="L5" s="186"/>
      <c r="M5" s="186"/>
      <c r="N5" s="186"/>
      <c r="O5" s="186"/>
      <c r="P5" s="186"/>
      <c r="Q5" s="186"/>
      <c r="R5" s="186"/>
    </row>
    <row r="6" spans="1:28" x14ac:dyDescent="0.2">
      <c r="A6"/>
      <c r="B6" s="12" t="s">
        <v>296</v>
      </c>
      <c r="C6" s="12" t="s">
        <v>297</v>
      </c>
      <c r="D6" s="12" t="s">
        <v>297</v>
      </c>
      <c r="H6" s="186"/>
      <c r="I6" s="186"/>
      <c r="J6" s="186"/>
      <c r="K6" s="186"/>
      <c r="L6" s="186"/>
      <c r="M6" s="186"/>
      <c r="N6" s="186"/>
      <c r="O6" s="186"/>
      <c r="P6" s="186"/>
      <c r="Q6" s="186"/>
      <c r="R6" s="186"/>
    </row>
    <row r="7" spans="1:28" x14ac:dyDescent="0.2">
      <c r="A7"/>
      <c r="B7" s="12" t="s">
        <v>74</v>
      </c>
      <c r="C7" s="12" t="s">
        <v>75</v>
      </c>
      <c r="D7" s="12" t="s">
        <v>75</v>
      </c>
      <c r="H7" s="186"/>
      <c r="I7" s="186"/>
      <c r="J7" s="186"/>
      <c r="K7" s="186"/>
      <c r="L7" s="186"/>
      <c r="M7" s="186"/>
      <c r="N7" s="186"/>
      <c r="O7" s="186"/>
      <c r="P7" s="186"/>
      <c r="Q7" s="186"/>
      <c r="R7" s="186"/>
    </row>
    <row r="8" spans="1:28" x14ac:dyDescent="0.2">
      <c r="A8"/>
    </row>
    <row r="9" spans="1:28" x14ac:dyDescent="0.2">
      <c r="A9"/>
      <c r="B9" s="142" t="s">
        <v>298</v>
      </c>
    </row>
    <row r="10" spans="1:28" x14ac:dyDescent="0.2">
      <c r="A10"/>
    </row>
    <row r="11" spans="1:28" x14ac:dyDescent="0.2">
      <c r="A11"/>
      <c r="B11" s="3" t="s">
        <v>135</v>
      </c>
      <c r="I11" s="3" t="s">
        <v>78</v>
      </c>
      <c r="J11" s="55"/>
      <c r="K11" s="55"/>
      <c r="L11" s="55"/>
    </row>
    <row r="12" spans="1:28" ht="38.25" x14ac:dyDescent="0.2">
      <c r="A12"/>
      <c r="B12" s="4" t="s">
        <v>79</v>
      </c>
      <c r="C12" s="4" t="s">
        <v>80</v>
      </c>
      <c r="D12" s="37" t="s">
        <v>321</v>
      </c>
      <c r="E12" s="37" t="s">
        <v>322</v>
      </c>
      <c r="F12" s="37" t="s">
        <v>323</v>
      </c>
      <c r="G12" s="4" t="s">
        <v>324</v>
      </c>
      <c r="H12" s="38"/>
      <c r="I12" s="4"/>
      <c r="J12" s="4">
        <v>2010</v>
      </c>
      <c r="K12" s="4">
        <v>2011</v>
      </c>
      <c r="L12" s="4">
        <v>2012</v>
      </c>
    </row>
    <row r="13" spans="1:28" s="29" customFormat="1" x14ac:dyDescent="0.2">
      <c r="B13" s="29">
        <v>2010</v>
      </c>
      <c r="C13" s="29">
        <v>4</v>
      </c>
      <c r="D13" s="30">
        <f>'Currency conversion - returns'!$D43</f>
        <v>6734480</v>
      </c>
      <c r="E13" s="30">
        <f>'Currency conversion - returns'!$D59</f>
        <v>-11535400</v>
      </c>
      <c r="F13" s="30">
        <f>'Currency conversion - returns'!$D75</f>
        <v>18269880</v>
      </c>
      <c r="G13" s="30">
        <f>'Currency conversion - returns'!$D44</f>
        <v>336112599.78082192</v>
      </c>
      <c r="I13" s="29" t="s">
        <v>89</v>
      </c>
      <c r="J13" s="60">
        <f>H30</f>
        <v>3.7944118357091383E-2</v>
      </c>
      <c r="K13" s="60">
        <f>H33</f>
        <v>3.7257812235406765E-2</v>
      </c>
      <c r="L13" s="60">
        <f>H36</f>
        <v>0.10360270458191249</v>
      </c>
      <c r="M13" s="60"/>
      <c r="N13" s="60"/>
      <c r="O13" s="60"/>
      <c r="P13"/>
      <c r="U13"/>
      <c r="V13"/>
      <c r="W13"/>
      <c r="X13"/>
      <c r="Y13"/>
      <c r="Z13"/>
      <c r="AA13"/>
      <c r="AB13"/>
    </row>
    <row r="14" spans="1:28" s="29" customFormat="1" x14ac:dyDescent="0.2">
      <c r="A14" s="36"/>
      <c r="B14" s="29">
        <v>2011</v>
      </c>
      <c r="C14" s="29">
        <v>4</v>
      </c>
      <c r="D14" s="30">
        <f>'Currency conversion - returns'!$T43</f>
        <v>12430900</v>
      </c>
      <c r="E14" s="30">
        <f>'Currency conversion - returns'!$T59</f>
        <v>-10217600</v>
      </c>
      <c r="F14" s="30">
        <f>'Currency conversion - returns'!$T75</f>
        <v>22648500</v>
      </c>
      <c r="G14" s="30">
        <f>'Currency conversion - returns'!$T44</f>
        <v>421543119.17808217</v>
      </c>
      <c r="I14" s="29" t="s">
        <v>91</v>
      </c>
      <c r="J14" s="60">
        <f>H47</f>
        <v>-1.8713021914408785E-2</v>
      </c>
      <c r="K14" s="60">
        <f>H50</f>
        <v>-1.7562787609615632E-2</v>
      </c>
      <c r="L14" s="60">
        <f>H53</f>
        <v>4.8030624778873321E-2</v>
      </c>
      <c r="M14" s="60"/>
      <c r="N14" s="60"/>
      <c r="O14" s="60"/>
      <c r="P14"/>
      <c r="U14"/>
      <c r="V14"/>
      <c r="W14"/>
      <c r="X14"/>
      <c r="Y14"/>
      <c r="Z14"/>
      <c r="AA14"/>
      <c r="AB14"/>
    </row>
    <row r="15" spans="1:28" s="29" customFormat="1" x14ac:dyDescent="0.2">
      <c r="A15" s="36"/>
      <c r="B15" s="29">
        <v>2012</v>
      </c>
      <c r="C15" s="29">
        <v>4</v>
      </c>
      <c r="D15" s="30">
        <f>'Currency conversion - returns'!$AD43</f>
        <v>60030240</v>
      </c>
      <c r="E15" s="30">
        <f>'Currency conversion - returns'!$AD59</f>
        <v>36261500</v>
      </c>
      <c r="F15" s="30">
        <f>'Currency conversion - returns'!$AD75</f>
        <v>23768740</v>
      </c>
      <c r="G15" s="30">
        <f>'Currency conversion - returns'!$AD44</f>
        <v>458091843.3879782</v>
      </c>
      <c r="I15" s="29" t="s">
        <v>95</v>
      </c>
      <c r="J15" s="60">
        <f>H64</f>
        <v>5.6657140271500178E-2</v>
      </c>
      <c r="K15" s="60">
        <f>H67</f>
        <v>5.482059984502239E-2</v>
      </c>
      <c r="L15" s="60">
        <f>H70</f>
        <v>5.5572079803039166E-2</v>
      </c>
      <c r="M15" s="60"/>
      <c r="N15" s="60"/>
      <c r="O15" s="60"/>
      <c r="P15"/>
      <c r="U15"/>
      <c r="V15"/>
      <c r="W15"/>
      <c r="X15"/>
      <c r="Y15"/>
      <c r="Z15"/>
      <c r="AA15"/>
      <c r="AB15"/>
    </row>
    <row r="16" spans="1:28" x14ac:dyDescent="0.2">
      <c r="B16" s="10"/>
      <c r="M16" s="60"/>
      <c r="N16" s="60"/>
      <c r="O16" s="60"/>
    </row>
    <row r="17" spans="1:28" x14ac:dyDescent="0.2">
      <c r="A17"/>
      <c r="B17" s="3" t="s">
        <v>140</v>
      </c>
      <c r="M17" s="60"/>
      <c r="N17" s="60"/>
      <c r="O17" s="60"/>
    </row>
    <row r="18" spans="1:28" ht="38.25" x14ac:dyDescent="0.2">
      <c r="A18"/>
      <c r="B18" s="4" t="s">
        <v>79</v>
      </c>
      <c r="C18" s="4" t="s">
        <v>80</v>
      </c>
      <c r="D18" s="37" t="s">
        <v>321</v>
      </c>
      <c r="E18" s="37" t="s">
        <v>322</v>
      </c>
      <c r="F18" s="37" t="s">
        <v>323</v>
      </c>
      <c r="G18" s="4" t="s">
        <v>324</v>
      </c>
      <c r="H18" s="38"/>
      <c r="K18" s="173"/>
      <c r="L18" s="173"/>
      <c r="M18" s="173"/>
      <c r="N18" s="173"/>
      <c r="O18" s="174"/>
      <c r="P18" s="174"/>
      <c r="Q18" s="174"/>
      <c r="R18" s="174"/>
    </row>
    <row r="19" spans="1:28" s="29" customFormat="1" x14ac:dyDescent="0.2">
      <c r="B19" s="29">
        <v>2010</v>
      </c>
      <c r="C19" s="29">
        <v>4</v>
      </c>
      <c r="D19" s="30">
        <v>32202450.000000004</v>
      </c>
      <c r="E19" s="30">
        <v>-7667250.0000000009</v>
      </c>
      <c r="F19" s="30">
        <v>39869700.000000007</v>
      </c>
      <c r="G19" s="30">
        <v>690052500.00000012</v>
      </c>
      <c r="I19"/>
      <c r="J19"/>
      <c r="K19" s="173"/>
      <c r="L19" s="173"/>
      <c r="M19" s="173"/>
      <c r="N19" s="173"/>
      <c r="O19" s="174"/>
      <c r="P19" s="174"/>
      <c r="Q19" s="174"/>
      <c r="R19" s="174"/>
      <c r="S19"/>
      <c r="T19"/>
      <c r="U19"/>
      <c r="V19"/>
      <c r="W19"/>
      <c r="X19"/>
      <c r="Y19"/>
      <c r="Z19"/>
      <c r="AA19"/>
      <c r="AB19"/>
    </row>
    <row r="20" spans="1:28" s="29" customFormat="1" x14ac:dyDescent="0.2">
      <c r="A20" s="36"/>
      <c r="B20" s="29">
        <v>2011</v>
      </c>
      <c r="C20" s="29">
        <v>4</v>
      </c>
      <c r="D20" s="30">
        <v>35269350.000000007</v>
      </c>
      <c r="E20" s="30">
        <v>-12267600.000000002</v>
      </c>
      <c r="F20" s="30">
        <v>47536950.000000007</v>
      </c>
      <c r="G20" s="30">
        <v>858732000.00000012</v>
      </c>
      <c r="I20"/>
      <c r="J20"/>
      <c r="K20" s="173"/>
      <c r="L20" s="173"/>
      <c r="M20" s="173"/>
      <c r="N20" s="173"/>
      <c r="O20" s="174"/>
      <c r="P20" s="174"/>
      <c r="Q20" s="174"/>
      <c r="R20" s="174"/>
      <c r="S20"/>
      <c r="T20"/>
      <c r="U20"/>
      <c r="V20"/>
      <c r="W20"/>
      <c r="X20"/>
      <c r="Y20"/>
      <c r="Z20"/>
      <c r="AA20"/>
      <c r="AB20"/>
    </row>
    <row r="21" spans="1:28" s="29" customFormat="1" x14ac:dyDescent="0.2">
      <c r="A21" s="36"/>
      <c r="B21" s="29">
        <v>2012</v>
      </c>
      <c r="C21" s="29">
        <v>4</v>
      </c>
      <c r="D21" s="30">
        <v>84339750.000000015</v>
      </c>
      <c r="E21" s="30">
        <v>30669000.000000004</v>
      </c>
      <c r="F21" s="30">
        <v>53670750.000000007</v>
      </c>
      <c r="G21" s="30">
        <v>935404500.00000012</v>
      </c>
      <c r="I21"/>
      <c r="J21"/>
      <c r="K21"/>
      <c r="L21"/>
      <c r="M21"/>
      <c r="N21"/>
      <c r="O21"/>
      <c r="P21"/>
      <c r="Q21"/>
      <c r="R21"/>
      <c r="S21"/>
      <c r="T21"/>
      <c r="U21"/>
      <c r="V21"/>
      <c r="W21"/>
      <c r="X21"/>
      <c r="Y21"/>
      <c r="Z21"/>
      <c r="AA21"/>
      <c r="AB21"/>
    </row>
    <row r="22" spans="1:28" s="29" customFormat="1" x14ac:dyDescent="0.2">
      <c r="A22" s="36"/>
      <c r="D22" s="30"/>
      <c r="J22" s="59"/>
      <c r="K22" s="59"/>
      <c r="L22" s="59"/>
      <c r="M22" s="59"/>
      <c r="N22"/>
      <c r="O22"/>
      <c r="P22"/>
      <c r="Q22"/>
      <c r="R22"/>
      <c r="S22"/>
      <c r="T22"/>
      <c r="U22"/>
      <c r="V22"/>
      <c r="W22"/>
      <c r="X22"/>
      <c r="Y22"/>
      <c r="Z22"/>
      <c r="AA22"/>
      <c r="AB22"/>
    </row>
    <row r="23" spans="1:28" x14ac:dyDescent="0.2">
      <c r="A23" s="36"/>
      <c r="B23" s="29"/>
      <c r="C23" s="29"/>
      <c r="D23" s="30"/>
      <c r="E23" s="29"/>
      <c r="F23" s="29"/>
      <c r="G23" s="29"/>
      <c r="H23" s="29"/>
      <c r="I23" s="29"/>
      <c r="J23" s="59"/>
      <c r="K23" s="59"/>
      <c r="L23" s="59"/>
      <c r="M23" s="59"/>
    </row>
    <row r="24" spans="1:28" x14ac:dyDescent="0.2">
      <c r="A24" s="36"/>
      <c r="B24" s="29"/>
      <c r="C24" s="29"/>
      <c r="D24" s="30"/>
      <c r="E24" s="29"/>
      <c r="F24" s="29"/>
      <c r="G24" s="29"/>
      <c r="H24" s="29"/>
      <c r="I24" s="29"/>
      <c r="J24" s="59"/>
      <c r="K24" s="59"/>
      <c r="L24" s="59"/>
      <c r="M24" s="59"/>
    </row>
    <row r="25" spans="1:28" x14ac:dyDescent="0.2">
      <c r="B25" s="21" t="s">
        <v>115</v>
      </c>
      <c r="C25" s="22" t="s">
        <v>141</v>
      </c>
      <c r="D25" s="20"/>
      <c r="E25" s="20"/>
      <c r="F25" s="20"/>
      <c r="G25" s="20"/>
      <c r="H25" s="20"/>
      <c r="I25" s="29"/>
      <c r="J25" s="55"/>
      <c r="K25" s="55"/>
      <c r="L25" s="55"/>
    </row>
    <row r="26" spans="1:28" x14ac:dyDescent="0.2">
      <c r="B26" s="19"/>
      <c r="C26" s="20"/>
      <c r="D26" s="20"/>
      <c r="E26" s="20"/>
      <c r="F26" s="20"/>
      <c r="G26" s="20"/>
      <c r="H26" s="20"/>
      <c r="I26" s="29"/>
      <c r="J26" s="55"/>
      <c r="K26" s="55"/>
      <c r="L26" s="55"/>
    </row>
    <row r="27" spans="1:28" ht="26.25" customHeight="1" x14ac:dyDescent="0.2">
      <c r="B27" s="19" t="s">
        <v>89</v>
      </c>
      <c r="C27" s="20" t="s">
        <v>325</v>
      </c>
      <c r="D27" s="33" t="s">
        <v>142</v>
      </c>
      <c r="E27" s="33"/>
      <c r="F27" s="33"/>
      <c r="G27" s="20"/>
      <c r="H27" s="20"/>
      <c r="I27" s="29"/>
      <c r="J27" s="55"/>
      <c r="K27" s="55"/>
      <c r="L27" s="55"/>
    </row>
    <row r="28" spans="1:28" s="29" customFormat="1" x14ac:dyDescent="0.2">
      <c r="A28" s="7"/>
      <c r="B28" s="19"/>
      <c r="C28" s="20"/>
      <c r="D28" s="12" t="s">
        <v>143</v>
      </c>
      <c r="E28" s="12"/>
      <c r="F28" s="12"/>
      <c r="G28" s="20"/>
      <c r="H28" s="20"/>
      <c r="J28" s="55"/>
      <c r="K28" s="55"/>
      <c r="L28" s="55"/>
      <c r="M28"/>
      <c r="N28"/>
      <c r="O28"/>
      <c r="P28"/>
      <c r="Q28"/>
      <c r="R28"/>
      <c r="S28"/>
      <c r="T28"/>
      <c r="U28"/>
      <c r="V28"/>
      <c r="W28"/>
      <c r="X28"/>
      <c r="Y28"/>
      <c r="Z28"/>
      <c r="AA28"/>
      <c r="AB28"/>
    </row>
    <row r="29" spans="1:28" s="29" customFormat="1" x14ac:dyDescent="0.2">
      <c r="A29" s="7"/>
      <c r="B29" s="19"/>
      <c r="C29" s="20"/>
      <c r="D29" s="20"/>
      <c r="E29" s="20"/>
      <c r="F29" s="20"/>
      <c r="G29" s="20"/>
      <c r="H29" s="20"/>
      <c r="J29" s="55"/>
      <c r="K29" s="55"/>
      <c r="L29" s="55"/>
      <c r="M29"/>
      <c r="N29"/>
      <c r="O29"/>
      <c r="P29"/>
      <c r="Q29"/>
      <c r="R29"/>
      <c r="S29"/>
      <c r="T29"/>
      <c r="U29"/>
      <c r="V29"/>
      <c r="W29"/>
      <c r="X29"/>
      <c r="Y29"/>
      <c r="Z29"/>
      <c r="AA29"/>
      <c r="AB29"/>
    </row>
    <row r="30" spans="1:28" s="29" customFormat="1" x14ac:dyDescent="0.2">
      <c r="A30" s="7"/>
      <c r="B30" s="19" t="s">
        <v>144</v>
      </c>
      <c r="C30" s="20" t="s">
        <v>325</v>
      </c>
      <c r="D30" s="104" t="str">
        <f>_xlfn.CONCAT(TEXT($D$13,"00,0"), " + ", TEXT($D$19,"00,0"))</f>
        <v>6734480,0 + 32202450,0</v>
      </c>
      <c r="E30" s="107" t="s">
        <v>117</v>
      </c>
      <c r="F30" s="106">
        <f>$D$13 + $D$19</f>
        <v>38936930</v>
      </c>
      <c r="G30" s="45" t="s">
        <v>117</v>
      </c>
      <c r="H30" s="44">
        <f>($D$13 + $D$19) / ($G$13 + $G$19)</f>
        <v>3.7944118357091383E-2</v>
      </c>
      <c r="J30" s="55"/>
      <c r="K30" s="55"/>
      <c r="L30" s="55"/>
      <c r="M30"/>
      <c r="N30"/>
      <c r="O30"/>
      <c r="P30"/>
      <c r="Q30"/>
      <c r="R30"/>
      <c r="S30"/>
      <c r="T30"/>
      <c r="U30"/>
      <c r="V30"/>
      <c r="W30"/>
      <c r="X30"/>
      <c r="Y30"/>
      <c r="Z30"/>
      <c r="AA30"/>
      <c r="AB30"/>
    </row>
    <row r="31" spans="1:28" s="29" customFormat="1" x14ac:dyDescent="0.2">
      <c r="A31" s="7"/>
      <c r="B31" s="19"/>
      <c r="C31" s="20"/>
      <c r="D31" s="99" t="str">
        <f>_xlfn.CONCAT(TEXT(ROUND($G$13,1),"00,0")," + ", TEXT($G$19,"00,0"))</f>
        <v>336112599,8 + 690052500,0</v>
      </c>
      <c r="E31" s="99"/>
      <c r="F31" s="105">
        <f>$G$13 + $G$19</f>
        <v>1026165099.780822</v>
      </c>
      <c r="G31" s="42"/>
      <c r="H31" s="12"/>
      <c r="J31" s="55"/>
      <c r="K31" s="55"/>
      <c r="L31" s="55"/>
      <c r="M31"/>
      <c r="N31"/>
      <c r="O31"/>
      <c r="P31"/>
      <c r="Q31"/>
      <c r="R31"/>
      <c r="S31"/>
      <c r="T31"/>
      <c r="U31"/>
      <c r="V31"/>
      <c r="W31"/>
      <c r="X31"/>
      <c r="Y31"/>
      <c r="Z31"/>
      <c r="AA31"/>
      <c r="AB31"/>
    </row>
    <row r="32" spans="1:28" ht="12.75" customHeight="1" x14ac:dyDescent="0.2">
      <c r="B32" s="19"/>
      <c r="C32" s="20"/>
      <c r="D32" s="99"/>
      <c r="E32" s="99"/>
      <c r="F32" s="103"/>
      <c r="G32" s="42"/>
      <c r="H32" s="43"/>
      <c r="I32" s="29"/>
      <c r="J32" s="55"/>
      <c r="K32" s="55"/>
      <c r="L32" s="55"/>
    </row>
    <row r="33" spans="1:28" s="159" customFormat="1" ht="17.25" customHeight="1" x14ac:dyDescent="0.2">
      <c r="A33" s="7"/>
      <c r="B33" s="19" t="s">
        <v>145</v>
      </c>
      <c r="C33" s="20" t="s">
        <v>325</v>
      </c>
      <c r="D33" s="104" t="str">
        <f>_xlfn.CONCAT(TEXT($D$14,"00,0"), " + ", TEXT($D$20,"00,0"))</f>
        <v>12430900,0 + 35269350,0</v>
      </c>
      <c r="E33" s="107" t="s">
        <v>117</v>
      </c>
      <c r="F33" s="106">
        <f>$D$14 + $D$20</f>
        <v>47700250.000000007</v>
      </c>
      <c r="G33" s="45" t="s">
        <v>117</v>
      </c>
      <c r="H33" s="44">
        <f>($D$14 + $D$20) / ($G$14 + $G$20)</f>
        <v>3.7257812235406765E-2</v>
      </c>
      <c r="I33" s="29"/>
      <c r="J33" s="55"/>
      <c r="K33" s="55"/>
      <c r="L33" s="55"/>
      <c r="M33"/>
      <c r="N33"/>
      <c r="O33"/>
      <c r="P33"/>
      <c r="Q33"/>
      <c r="R33"/>
      <c r="S33"/>
      <c r="T33"/>
      <c r="U33"/>
      <c r="V33"/>
      <c r="W33"/>
      <c r="X33"/>
      <c r="Y33"/>
      <c r="Z33"/>
      <c r="AA33"/>
      <c r="AB33"/>
    </row>
    <row r="34" spans="1:28" s="152" customFormat="1" ht="14.25" customHeight="1" x14ac:dyDescent="0.2">
      <c r="A34" s="7"/>
      <c r="B34" s="19"/>
      <c r="C34" s="20"/>
      <c r="D34" s="99" t="str">
        <f>_xlfn.CONCAT(TEXT(ROUND($G$14,1),"00,0")," + ", TEXT($G$20,"00,0"))</f>
        <v>421543119,2 + 858732000,0</v>
      </c>
      <c r="E34" s="99"/>
      <c r="F34" s="105">
        <f>$G$14 + $G$20</f>
        <v>1280275119.1780822</v>
      </c>
      <c r="G34" s="42"/>
      <c r="H34" s="12"/>
      <c r="I34" s="29"/>
      <c r="J34" s="55"/>
      <c r="K34" s="55"/>
      <c r="L34" s="55"/>
      <c r="M34"/>
      <c r="N34"/>
      <c r="O34"/>
      <c r="P34"/>
      <c r="Q34"/>
      <c r="R34"/>
      <c r="S34"/>
      <c r="T34"/>
      <c r="U34"/>
      <c r="V34"/>
      <c r="W34"/>
      <c r="X34"/>
      <c r="Y34"/>
      <c r="Z34"/>
      <c r="AA34"/>
      <c r="AB34"/>
    </row>
    <row r="35" spans="1:28" x14ac:dyDescent="0.2">
      <c r="B35" s="19"/>
      <c r="C35" s="20"/>
      <c r="D35" s="99"/>
      <c r="E35" s="99"/>
      <c r="F35" s="103"/>
      <c r="G35" s="42"/>
      <c r="H35" s="43"/>
      <c r="I35" s="29"/>
      <c r="J35" s="55"/>
      <c r="K35" s="55"/>
      <c r="L35" s="55"/>
    </row>
    <row r="36" spans="1:28" ht="12.75" customHeight="1" x14ac:dyDescent="0.2">
      <c r="B36" s="19" t="s">
        <v>146</v>
      </c>
      <c r="C36" s="20" t="s">
        <v>325</v>
      </c>
      <c r="D36" s="104" t="str">
        <f>_xlfn.CONCAT(TEXT($D$15,"00,0"), " + ", TEXT($D$21,"00,0"))</f>
        <v>60030240,0 + 84339750,0</v>
      </c>
      <c r="E36" s="107" t="s">
        <v>117</v>
      </c>
      <c r="F36" s="106">
        <f>$D$15 + $D$21</f>
        <v>144369990</v>
      </c>
      <c r="G36" s="45" t="s">
        <v>117</v>
      </c>
      <c r="H36" s="44">
        <f>($D$15 + $D$21) / ($G$15 + $G$21)</f>
        <v>0.10360270458191249</v>
      </c>
      <c r="I36" s="29"/>
      <c r="J36" s="55"/>
      <c r="K36" s="55"/>
      <c r="L36" s="55"/>
    </row>
    <row r="37" spans="1:28" x14ac:dyDescent="0.2">
      <c r="B37" s="19"/>
      <c r="C37" s="20"/>
      <c r="D37" s="99" t="str">
        <f>_xlfn.CONCAT(TEXT(ROUND($G$15,1),"00,0")," + ", TEXT($G$21,"00,0"))</f>
        <v>458091843,4 + 935404500,0</v>
      </c>
      <c r="E37" s="99"/>
      <c r="F37" s="105">
        <f>$G$15 + $G$21</f>
        <v>1393496343.3879783</v>
      </c>
      <c r="G37" s="40"/>
      <c r="H37" s="40"/>
      <c r="I37" s="29"/>
      <c r="J37" s="55"/>
      <c r="K37" s="55"/>
      <c r="L37" s="55"/>
    </row>
    <row r="38" spans="1:28" x14ac:dyDescent="0.2">
      <c r="B38" s="26"/>
      <c r="C38" s="20"/>
      <c r="D38" s="20"/>
      <c r="E38" s="20"/>
      <c r="F38" s="103"/>
      <c r="G38" s="40"/>
      <c r="H38" s="40"/>
      <c r="I38" s="58"/>
      <c r="J38" s="55"/>
      <c r="K38" s="55"/>
      <c r="L38" s="55"/>
    </row>
    <row r="39" spans="1:28" x14ac:dyDescent="0.2">
      <c r="B39" s="10"/>
      <c r="F39" s="100"/>
      <c r="I39" s="29"/>
      <c r="J39" s="55"/>
      <c r="K39" s="55"/>
      <c r="L39" s="55"/>
    </row>
    <row r="40" spans="1:28" ht="12.75" customHeight="1" x14ac:dyDescent="0.2">
      <c r="B40" s="10"/>
      <c r="F40" s="100"/>
      <c r="I40" s="29"/>
      <c r="J40" s="55"/>
      <c r="K40" s="55"/>
      <c r="L40" s="55"/>
    </row>
    <row r="41" spans="1:28" x14ac:dyDescent="0.2">
      <c r="B41" s="10"/>
      <c r="F41" s="100"/>
      <c r="I41" s="29"/>
      <c r="J41" s="55"/>
      <c r="K41" s="55"/>
      <c r="L41" s="55"/>
    </row>
    <row r="42" spans="1:28" ht="12.75" customHeight="1" x14ac:dyDescent="0.2">
      <c r="B42" s="21" t="s">
        <v>115</v>
      </c>
      <c r="C42" s="22" t="s">
        <v>147</v>
      </c>
      <c r="D42" s="20"/>
      <c r="E42" s="20"/>
      <c r="F42" s="103"/>
      <c r="G42" s="20"/>
      <c r="H42" s="20"/>
      <c r="I42" s="29"/>
      <c r="J42" s="55"/>
      <c r="K42" s="55"/>
      <c r="L42" s="55"/>
    </row>
    <row r="43" spans="1:28" ht="12.75" customHeight="1" x14ac:dyDescent="0.2">
      <c r="B43" s="19"/>
      <c r="C43" s="20"/>
      <c r="D43" s="20"/>
      <c r="E43" s="20"/>
      <c r="F43" s="103"/>
      <c r="G43" s="20"/>
      <c r="H43" s="20"/>
      <c r="I43" s="29"/>
      <c r="J43" s="55"/>
      <c r="K43" s="55"/>
      <c r="L43" s="55"/>
    </row>
    <row r="44" spans="1:28" ht="12.75" customHeight="1" x14ac:dyDescent="0.2">
      <c r="B44" s="19" t="s">
        <v>91</v>
      </c>
      <c r="C44" s="20" t="s">
        <v>325</v>
      </c>
      <c r="D44" s="33" t="s">
        <v>148</v>
      </c>
      <c r="E44" s="33"/>
      <c r="F44" s="109"/>
      <c r="G44" s="20"/>
      <c r="H44" s="20"/>
      <c r="I44" s="29"/>
      <c r="J44" s="55"/>
      <c r="K44" s="55"/>
      <c r="L44" s="55"/>
    </row>
    <row r="45" spans="1:28" ht="12.75" customHeight="1" x14ac:dyDescent="0.2">
      <c r="B45" s="19"/>
      <c r="C45" s="20"/>
      <c r="D45" s="12" t="s">
        <v>149</v>
      </c>
      <c r="E45" s="12"/>
      <c r="F45" s="101"/>
      <c r="G45" s="20"/>
      <c r="H45" s="20"/>
      <c r="I45" s="29"/>
      <c r="J45" s="55"/>
      <c r="K45" s="55"/>
      <c r="L45" s="55"/>
    </row>
    <row r="46" spans="1:28" ht="12.75" customHeight="1" x14ac:dyDescent="0.2">
      <c r="B46" s="19"/>
      <c r="C46" s="20"/>
      <c r="D46" s="20"/>
      <c r="E46" s="20"/>
      <c r="F46" s="103"/>
      <c r="G46" s="20"/>
      <c r="H46" s="20"/>
      <c r="I46" s="29"/>
      <c r="J46" s="55"/>
      <c r="K46" s="55"/>
      <c r="L46" s="55"/>
    </row>
    <row r="47" spans="1:28" x14ac:dyDescent="0.2">
      <c r="B47" s="19" t="s">
        <v>150</v>
      </c>
      <c r="C47" s="20" t="s">
        <v>325</v>
      </c>
      <c r="D47" s="23" t="str">
        <f>_xlfn.CONCAT(TEXT($E$13,"00,0"), " + ", TEXT($E$19,"00,0"))</f>
        <v>-11535400,0 + -7667250,0</v>
      </c>
      <c r="E47" s="42" t="s">
        <v>117</v>
      </c>
      <c r="F47" s="106">
        <f>$E$13 + $E$19</f>
        <v>-19202650</v>
      </c>
      <c r="G47" s="45" t="s">
        <v>117</v>
      </c>
      <c r="H47" s="44">
        <f>($E$13 + $E$19) / ($G$13 + $G$19)</f>
        <v>-1.8713021914408785E-2</v>
      </c>
      <c r="I47" s="29"/>
      <c r="J47" s="55"/>
      <c r="K47" s="55"/>
      <c r="L47" s="55"/>
    </row>
    <row r="48" spans="1:28" x14ac:dyDescent="0.2">
      <c r="B48" s="19"/>
      <c r="C48" s="20"/>
      <c r="D48" s="40" t="str">
        <f>_xlfn.CONCAT(TEXT(ROUND($G$13,1),"00,0")," + ", TEXT($G$19,"00,0"))</f>
        <v>336112599,8 + 690052500,0</v>
      </c>
      <c r="E48" s="40"/>
      <c r="F48" s="105">
        <f>$G$13 + $G$19</f>
        <v>1026165099.780822</v>
      </c>
      <c r="G48" s="42"/>
      <c r="H48" s="44"/>
      <c r="I48" s="29"/>
      <c r="J48" s="55"/>
      <c r="K48" s="55"/>
      <c r="L48" s="55"/>
    </row>
    <row r="49" spans="2:12" x14ac:dyDescent="0.2">
      <c r="B49" s="19"/>
      <c r="C49" s="20"/>
      <c r="D49" s="20"/>
      <c r="E49" s="40"/>
      <c r="F49" s="103"/>
      <c r="G49" s="42"/>
      <c r="H49" s="44"/>
      <c r="I49" s="29"/>
      <c r="J49" s="55"/>
      <c r="K49" s="55"/>
      <c r="L49" s="55"/>
    </row>
    <row r="50" spans="2:12" x14ac:dyDescent="0.2">
      <c r="B50" s="19" t="s">
        <v>151</v>
      </c>
      <c r="C50" s="20" t="s">
        <v>325</v>
      </c>
      <c r="D50" s="23" t="str">
        <f>_xlfn.CONCAT(TEXT($E$14,"00,0"), " + ", TEXT($E$20,"00,0"))</f>
        <v>-10217600,0 + -12267600,0</v>
      </c>
      <c r="E50" s="42" t="s">
        <v>117</v>
      </c>
      <c r="F50" s="106">
        <f>$E$14 + $E$20</f>
        <v>-22485200</v>
      </c>
      <c r="G50" s="45" t="s">
        <v>117</v>
      </c>
      <c r="H50" s="44">
        <f>($E$14 + $E$20) / ($G$14 + $G$20)</f>
        <v>-1.7562787609615632E-2</v>
      </c>
      <c r="I50" s="29"/>
      <c r="J50" s="55"/>
      <c r="K50" s="55"/>
      <c r="L50" s="55"/>
    </row>
    <row r="51" spans="2:12" x14ac:dyDescent="0.2">
      <c r="B51" s="19"/>
      <c r="C51" s="20"/>
      <c r="D51" s="40" t="str">
        <f>_xlfn.CONCAT(TEXT(ROUND($G$14,1),"00,0")," + ", TEXT($G$20,"00,0"))</f>
        <v>421543119,2 + 858732000,0</v>
      </c>
      <c r="E51" s="40"/>
      <c r="F51" s="105">
        <f>$G$14 + $G$20</f>
        <v>1280275119.1780822</v>
      </c>
      <c r="G51" s="42"/>
      <c r="H51" s="44"/>
      <c r="I51" s="29"/>
      <c r="J51" s="55"/>
      <c r="K51" s="55"/>
      <c r="L51" s="55"/>
    </row>
    <row r="52" spans="2:12" x14ac:dyDescent="0.2">
      <c r="B52" s="19"/>
      <c r="C52" s="20"/>
      <c r="D52" s="20"/>
      <c r="E52" s="40"/>
      <c r="F52" s="103"/>
      <c r="G52" s="42"/>
      <c r="H52" s="44"/>
      <c r="I52" s="29"/>
      <c r="J52" s="55"/>
      <c r="K52" s="55"/>
      <c r="L52" s="55"/>
    </row>
    <row r="53" spans="2:12" x14ac:dyDescent="0.2">
      <c r="B53" s="19" t="s">
        <v>152</v>
      </c>
      <c r="C53" s="20" t="s">
        <v>325</v>
      </c>
      <c r="D53" s="23" t="str">
        <f>_xlfn.CONCAT(TEXT($E$15,"00,0"), " + ", TEXT($E$21,"00,0"))</f>
        <v>36261500,0 + 30669000,0</v>
      </c>
      <c r="E53" s="42" t="s">
        <v>117</v>
      </c>
      <c r="F53" s="106">
        <f>$E$15 + $E$21</f>
        <v>66930500</v>
      </c>
      <c r="G53" s="45" t="s">
        <v>117</v>
      </c>
      <c r="H53" s="44">
        <f>($E$15 + $E$21) / ($G$15 + $G$21)</f>
        <v>4.8030624778873321E-2</v>
      </c>
      <c r="I53" s="29"/>
      <c r="J53" s="55"/>
      <c r="K53" s="55"/>
      <c r="L53" s="55"/>
    </row>
    <row r="54" spans="2:12" x14ac:dyDescent="0.2">
      <c r="B54" s="19"/>
      <c r="C54" s="20"/>
      <c r="D54" s="40" t="str">
        <f>_xlfn.CONCAT(TEXT(ROUND($G$15,1),"00,0")," + ", TEXT($G$21,"00,0"))</f>
        <v>458091843,4 + 935404500,0</v>
      </c>
      <c r="E54" s="40"/>
      <c r="F54" s="105">
        <f>$G$15 + $G$21</f>
        <v>1393496343.3879783</v>
      </c>
      <c r="G54" s="40"/>
      <c r="H54" s="12"/>
      <c r="I54" s="29"/>
      <c r="J54" s="55"/>
      <c r="K54" s="55"/>
      <c r="L54" s="55"/>
    </row>
    <row r="55" spans="2:12" x14ac:dyDescent="0.2">
      <c r="B55" s="26"/>
      <c r="C55" s="20"/>
      <c r="D55" s="20"/>
      <c r="E55" s="20"/>
      <c r="F55" s="103"/>
      <c r="G55" s="40"/>
      <c r="H55" s="40"/>
      <c r="I55" s="58"/>
      <c r="J55" s="55"/>
      <c r="K55" s="55"/>
      <c r="L55" s="55"/>
    </row>
    <row r="56" spans="2:12" x14ac:dyDescent="0.2">
      <c r="B56" s="10"/>
      <c r="F56" s="100"/>
      <c r="I56" s="29"/>
      <c r="J56" s="55"/>
      <c r="K56" s="55"/>
      <c r="L56" s="55"/>
    </row>
    <row r="57" spans="2:12" x14ac:dyDescent="0.2">
      <c r="B57" s="10"/>
      <c r="F57" s="100"/>
      <c r="I57" s="29"/>
      <c r="J57" s="55"/>
      <c r="K57" s="55"/>
      <c r="L57" s="55"/>
    </row>
    <row r="58" spans="2:12" x14ac:dyDescent="0.2">
      <c r="B58" s="10"/>
      <c r="F58" s="100"/>
      <c r="I58" s="29"/>
      <c r="J58" s="55"/>
      <c r="K58" s="55"/>
      <c r="L58" s="55"/>
    </row>
    <row r="59" spans="2:12" x14ac:dyDescent="0.2">
      <c r="B59" s="21" t="s">
        <v>115</v>
      </c>
      <c r="C59" s="22" t="s">
        <v>153</v>
      </c>
      <c r="D59" s="20"/>
      <c r="E59" s="20"/>
      <c r="F59" s="103"/>
      <c r="G59" s="20"/>
      <c r="H59" s="20"/>
      <c r="I59" s="29"/>
      <c r="J59" s="55"/>
      <c r="K59" s="55"/>
      <c r="L59" s="55"/>
    </row>
    <row r="60" spans="2:12" x14ac:dyDescent="0.2">
      <c r="B60" s="19"/>
      <c r="C60" s="20"/>
      <c r="D60" s="20"/>
      <c r="E60" s="20"/>
      <c r="F60" s="103"/>
      <c r="G60" s="20"/>
      <c r="H60" s="20"/>
      <c r="I60" s="29"/>
      <c r="J60" s="55"/>
      <c r="K60" s="55"/>
      <c r="L60" s="55"/>
    </row>
    <row r="61" spans="2:12" x14ac:dyDescent="0.2">
      <c r="B61" s="19" t="s">
        <v>95</v>
      </c>
      <c r="C61" s="20" t="s">
        <v>325</v>
      </c>
      <c r="D61" s="33" t="s">
        <v>154</v>
      </c>
      <c r="E61" s="33"/>
      <c r="F61" s="109"/>
      <c r="G61" s="20"/>
      <c r="H61" s="20"/>
      <c r="I61" s="29"/>
      <c r="J61" s="55"/>
      <c r="K61" s="55"/>
      <c r="L61" s="55"/>
    </row>
    <row r="62" spans="2:12" x14ac:dyDescent="0.2">
      <c r="B62" s="19"/>
      <c r="C62" s="20"/>
      <c r="D62" s="12" t="s">
        <v>155</v>
      </c>
      <c r="E62" s="12"/>
      <c r="F62" s="101"/>
      <c r="G62" s="20"/>
      <c r="H62" s="20"/>
      <c r="I62" s="29"/>
      <c r="J62" s="55"/>
      <c r="K62" s="55"/>
      <c r="L62" s="55"/>
    </row>
    <row r="63" spans="2:12" x14ac:dyDescent="0.2">
      <c r="B63" s="19"/>
      <c r="C63" s="20"/>
      <c r="D63" s="20"/>
      <c r="E63" s="20"/>
      <c r="F63" s="103"/>
      <c r="G63" s="20"/>
      <c r="H63" s="20"/>
      <c r="I63" s="29"/>
      <c r="J63" s="55"/>
      <c r="K63" s="55"/>
      <c r="L63" s="55"/>
    </row>
    <row r="64" spans="2:12" x14ac:dyDescent="0.2">
      <c r="B64" s="19" t="s">
        <v>156</v>
      </c>
      <c r="C64" s="20" t="s">
        <v>325</v>
      </c>
      <c r="D64" s="23" t="str">
        <f>_xlfn.CONCAT(TEXT($F$13,"00,0"), " + ", TEXT($F$19,"00,0"))</f>
        <v>18269880,0 + 39869700,0</v>
      </c>
      <c r="E64" s="42" t="s">
        <v>117</v>
      </c>
      <c r="F64" s="106">
        <f>$F$13 + $F$19</f>
        <v>58139580.000000007</v>
      </c>
      <c r="G64" s="45" t="s">
        <v>117</v>
      </c>
      <c r="H64" s="44">
        <f>($F$13 + $F$19) / ($G$13 + $G$19)</f>
        <v>5.6657140271500178E-2</v>
      </c>
      <c r="I64" s="29"/>
      <c r="J64" s="55"/>
      <c r="K64" s="55"/>
      <c r="L64" s="55"/>
    </row>
    <row r="65" spans="1:28" x14ac:dyDescent="0.2">
      <c r="B65" s="19"/>
      <c r="C65" s="20"/>
      <c r="D65" s="40" t="str">
        <f>_xlfn.CONCAT(TEXT(ROUND($G$13,1),"00,0")," + ", TEXT($G$19,"00,0"))</f>
        <v>336112599,8 + 690052500,0</v>
      </c>
      <c r="E65" s="40"/>
      <c r="F65" s="105">
        <f>$G$13 + $G$19</f>
        <v>1026165099.780822</v>
      </c>
      <c r="G65" s="42"/>
      <c r="H65" s="44"/>
      <c r="I65" s="29"/>
      <c r="J65" s="55"/>
      <c r="K65" s="55"/>
      <c r="L65" s="55"/>
    </row>
    <row r="66" spans="1:28" x14ac:dyDescent="0.2">
      <c r="B66" s="19"/>
      <c r="C66" s="20"/>
      <c r="D66" s="20"/>
      <c r="E66" s="40"/>
      <c r="F66" s="103"/>
      <c r="G66" s="42"/>
      <c r="H66" s="44"/>
      <c r="I66" s="29"/>
      <c r="J66" s="55"/>
      <c r="K66" s="55"/>
      <c r="L66" s="55"/>
    </row>
    <row r="67" spans="1:28" x14ac:dyDescent="0.2">
      <c r="B67" s="19" t="s">
        <v>157</v>
      </c>
      <c r="C67" s="20" t="s">
        <v>325</v>
      </c>
      <c r="D67" s="23" t="str">
        <f>_xlfn.CONCAT(TEXT($F$14,"00,0"), " + ", TEXT($F$20,"00,0"))</f>
        <v>22648500,0 + 47536950,0</v>
      </c>
      <c r="E67" s="42" t="s">
        <v>117</v>
      </c>
      <c r="F67" s="106">
        <f>$F$14 + $F$20</f>
        <v>70185450</v>
      </c>
      <c r="G67" s="45" t="s">
        <v>117</v>
      </c>
      <c r="H67" s="44">
        <f>($F$14 + $F$20) / ($G$14 + $G$20)</f>
        <v>5.482059984502239E-2</v>
      </c>
      <c r="I67" s="29"/>
      <c r="J67" s="55"/>
      <c r="K67" s="55"/>
      <c r="L67" s="55"/>
    </row>
    <row r="68" spans="1:28" x14ac:dyDescent="0.2">
      <c r="B68" s="19"/>
      <c r="C68" s="20"/>
      <c r="D68" s="40" t="str">
        <f>_xlfn.CONCAT(TEXT(ROUND($G$14,1),"00,0")," + ", TEXT($G$20,"00,0"))</f>
        <v>421543119,2 + 858732000,0</v>
      </c>
      <c r="E68" s="40"/>
      <c r="F68" s="105">
        <f>$G$14 + $G$20</f>
        <v>1280275119.1780822</v>
      </c>
      <c r="G68" s="42"/>
      <c r="H68" s="44"/>
      <c r="I68" s="29"/>
      <c r="J68" s="55"/>
      <c r="K68" s="55"/>
      <c r="L68" s="55"/>
    </row>
    <row r="69" spans="1:28" x14ac:dyDescent="0.2">
      <c r="B69" s="19"/>
      <c r="C69" s="20"/>
      <c r="D69" s="20"/>
      <c r="E69" s="40"/>
      <c r="F69" s="103"/>
      <c r="G69" s="42"/>
      <c r="H69" s="44"/>
      <c r="I69" s="29"/>
      <c r="J69" s="55"/>
      <c r="K69" s="55"/>
      <c r="L69" s="55"/>
    </row>
    <row r="70" spans="1:28" x14ac:dyDescent="0.2">
      <c r="B70" s="19" t="s">
        <v>158</v>
      </c>
      <c r="C70" s="20" t="s">
        <v>325</v>
      </c>
      <c r="D70" s="23" t="str">
        <f>_xlfn.CONCAT(TEXT($F$15,"00,0"), " + ", TEXT($F$21,"00,0"))</f>
        <v>23768740,0 + 53670750,0</v>
      </c>
      <c r="E70" s="42" t="s">
        <v>117</v>
      </c>
      <c r="F70" s="106">
        <f>$F$15 + $F$21</f>
        <v>77439490</v>
      </c>
      <c r="G70" s="45" t="s">
        <v>117</v>
      </c>
      <c r="H70" s="44">
        <f>($F$15 + $F$21) / ($G$15 + $G$21)</f>
        <v>5.5572079803039166E-2</v>
      </c>
      <c r="I70" s="29"/>
      <c r="J70" s="55"/>
      <c r="K70" s="55"/>
      <c r="L70" s="55"/>
    </row>
    <row r="71" spans="1:28" x14ac:dyDescent="0.2">
      <c r="B71" s="19"/>
      <c r="C71" s="20"/>
      <c r="D71" s="40" t="str">
        <f>_xlfn.CONCAT(TEXT(ROUND($G$15,1),"00,0")," + ", TEXT($G$21,"00,0"))</f>
        <v>458091843,4 + 935404500,0</v>
      </c>
      <c r="E71" s="40"/>
      <c r="F71" s="105">
        <f>$G$15 + $G$21</f>
        <v>1393496343.3879783</v>
      </c>
      <c r="G71" s="40"/>
      <c r="H71" s="12"/>
      <c r="I71" s="29"/>
      <c r="J71" s="55"/>
      <c r="K71" s="55"/>
      <c r="L71" s="55"/>
    </row>
    <row r="72" spans="1:28" x14ac:dyDescent="0.2">
      <c r="B72" s="26"/>
      <c r="C72" s="20"/>
      <c r="D72" s="20"/>
      <c r="E72" s="20"/>
      <c r="F72" s="40"/>
      <c r="G72" s="40"/>
      <c r="H72" s="40"/>
      <c r="I72" s="58"/>
      <c r="J72" s="55"/>
      <c r="K72" s="55"/>
      <c r="L72" s="55"/>
    </row>
    <row r="73" spans="1:28" x14ac:dyDescent="0.2">
      <c r="I73" s="29"/>
      <c r="J73" s="55"/>
      <c r="K73" s="55"/>
      <c r="L73" s="55"/>
    </row>
    <row r="74" spans="1:28" x14ac:dyDescent="0.2">
      <c r="I74" s="29"/>
      <c r="J74" s="55"/>
      <c r="K74" s="55"/>
      <c r="L74" s="55"/>
    </row>
    <row r="75" spans="1:28" x14ac:dyDescent="0.2">
      <c r="J75" s="55"/>
      <c r="K75" s="55"/>
      <c r="L75" s="55"/>
    </row>
    <row r="76" spans="1:28" x14ac:dyDescent="0.2">
      <c r="A76" s="36"/>
      <c r="B76" s="29"/>
      <c r="C76" s="29"/>
      <c r="D76" s="30"/>
      <c r="E76" s="29"/>
      <c r="F76" s="29"/>
      <c r="G76" s="29"/>
      <c r="H76" s="29"/>
      <c r="I76" s="29"/>
      <c r="J76" s="59"/>
      <c r="K76" s="59"/>
      <c r="L76" s="59"/>
      <c r="M76" s="29"/>
      <c r="N76" s="29"/>
      <c r="O76" s="29"/>
      <c r="P76" s="29"/>
      <c r="Q76" s="29"/>
      <c r="R76" s="29"/>
      <c r="S76" s="29"/>
      <c r="T76" s="29"/>
      <c r="U76" s="29"/>
      <c r="V76" s="29"/>
      <c r="W76" s="29"/>
      <c r="X76" s="29"/>
      <c r="Y76" s="29"/>
      <c r="Z76" s="29"/>
      <c r="AA76" s="29"/>
      <c r="AB76" s="29"/>
    </row>
    <row r="77" spans="1:28" x14ac:dyDescent="0.2">
      <c r="A77"/>
    </row>
    <row r="78" spans="1:28" x14ac:dyDescent="0.2">
      <c r="A78"/>
    </row>
  </sheetData>
  <mergeCells count="1">
    <mergeCell ref="H4:R7"/>
  </mergeCells>
  <hyperlinks>
    <hyperlink ref="I1:M1" location="'Table of Contents'!A1" display="Back to Table of Contents" xr:uid="{C8CD31F5-1CC5-4006-8F5A-86BC3814D0B6}"/>
  </hyperlink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2C65-6831-4A7E-9084-B2BA8C797F8A}">
  <sheetPr>
    <tabColor theme="7"/>
  </sheetPr>
  <dimension ref="A1:Q56"/>
  <sheetViews>
    <sheetView showGridLines="0" zoomScale="56" zoomScaleNormal="100" zoomScalePageLayoutView="85" workbookViewId="0">
      <pane ySplit="7" topLeftCell="A8" activePane="bottomLeft" state="frozen"/>
      <selection activeCell="B16" sqref="B16"/>
      <selection pane="bottomLeft" activeCell="H38" sqref="H38"/>
    </sheetView>
  </sheetViews>
  <sheetFormatPr defaultColWidth="8.7109375" defaultRowHeight="12.75" x14ac:dyDescent="0.2"/>
  <cols>
    <col min="1" max="1" width="7.28515625" style="7" customWidth="1"/>
    <col min="2" max="2" width="26.5703125" customWidth="1"/>
    <col min="3" max="3" width="15" customWidth="1"/>
    <col min="4" max="4" width="17.140625" customWidth="1"/>
    <col min="5" max="5" width="28.85546875" customWidth="1"/>
    <col min="6" max="6" width="39.42578125" customWidth="1"/>
    <col min="7" max="7" width="10.7109375" customWidth="1"/>
    <col min="8" max="8" width="21.7109375" bestFit="1" customWidth="1"/>
    <col min="9" max="12" width="10.42578125" customWidth="1"/>
    <col min="17" max="17" width="26" customWidth="1"/>
  </cols>
  <sheetData>
    <row r="1" spans="1:17" s="1" customFormat="1" ht="34.9" customHeight="1" x14ac:dyDescent="0.2">
      <c r="A1" s="6"/>
      <c r="B1" s="2" t="str">
        <f ca="1">MID(CELL("filename",A1),FIND("]",CELL("filename",A1))+ 1,255)&amp;" - calculation example"</f>
        <v>Curr. conv. Multiyear Index - calculation example</v>
      </c>
      <c r="H1" s="181" t="s">
        <v>68</v>
      </c>
      <c r="I1" s="181"/>
      <c r="J1" s="181"/>
      <c r="K1" s="181"/>
      <c r="L1" s="181"/>
    </row>
    <row r="3" spans="1:17" x14ac:dyDescent="0.2">
      <c r="A3"/>
    </row>
    <row r="4" spans="1:17" ht="12.75" customHeight="1" x14ac:dyDescent="0.2">
      <c r="A4"/>
      <c r="B4" s="12" t="s">
        <v>69</v>
      </c>
      <c r="C4" s="12" t="s">
        <v>70</v>
      </c>
      <c r="D4" s="12" t="s">
        <v>134</v>
      </c>
      <c r="G4" s="186" t="s">
        <v>295</v>
      </c>
      <c r="H4" s="186"/>
      <c r="I4" s="186"/>
      <c r="J4" s="186"/>
      <c r="K4" s="186"/>
      <c r="L4" s="186"/>
      <c r="M4" s="186"/>
      <c r="N4" s="186"/>
      <c r="O4" s="186"/>
      <c r="P4" s="186"/>
      <c r="Q4" s="186"/>
    </row>
    <row r="5" spans="1:17" x14ac:dyDescent="0.2">
      <c r="A5"/>
      <c r="B5" s="12" t="s">
        <v>72</v>
      </c>
      <c r="C5" s="12" t="s">
        <v>73</v>
      </c>
      <c r="D5" s="12" t="s">
        <v>320</v>
      </c>
      <c r="G5" s="186"/>
      <c r="H5" s="186"/>
      <c r="I5" s="186"/>
      <c r="J5" s="186"/>
      <c r="K5" s="186"/>
      <c r="L5" s="186"/>
      <c r="M5" s="186"/>
      <c r="N5" s="186"/>
      <c r="O5" s="186"/>
      <c r="P5" s="186"/>
      <c r="Q5" s="186"/>
    </row>
    <row r="6" spans="1:17" x14ac:dyDescent="0.2">
      <c r="A6"/>
      <c r="B6" s="12" t="s">
        <v>296</v>
      </c>
      <c r="C6" s="12" t="s">
        <v>297</v>
      </c>
      <c r="D6" s="12" t="s">
        <v>297</v>
      </c>
      <c r="G6" s="186"/>
      <c r="H6" s="186"/>
      <c r="I6" s="186"/>
      <c r="J6" s="186"/>
      <c r="K6" s="186"/>
      <c r="L6" s="186"/>
      <c r="M6" s="186"/>
      <c r="N6" s="186"/>
      <c r="O6" s="186"/>
      <c r="P6" s="186"/>
      <c r="Q6" s="186"/>
    </row>
    <row r="7" spans="1:17" x14ac:dyDescent="0.2">
      <c r="A7"/>
      <c r="B7" s="12" t="s">
        <v>74</v>
      </c>
      <c r="C7" s="12" t="s">
        <v>75</v>
      </c>
      <c r="D7" s="12" t="s">
        <v>75</v>
      </c>
      <c r="G7" s="186"/>
      <c r="H7" s="186"/>
      <c r="I7" s="186"/>
      <c r="J7" s="186"/>
      <c r="K7" s="186"/>
      <c r="L7" s="186"/>
      <c r="M7" s="186"/>
      <c r="N7" s="186"/>
      <c r="O7" s="186"/>
      <c r="P7" s="186"/>
      <c r="Q7" s="186"/>
    </row>
    <row r="8" spans="1:17" x14ac:dyDescent="0.2">
      <c r="A8"/>
    </row>
    <row r="9" spans="1:17" x14ac:dyDescent="0.2">
      <c r="A9"/>
    </row>
    <row r="10" spans="1:17" x14ac:dyDescent="0.2">
      <c r="A10"/>
    </row>
    <row r="11" spans="1:17" x14ac:dyDescent="0.2">
      <c r="A11"/>
      <c r="B11" s="54" t="s">
        <v>131</v>
      </c>
      <c r="H11" s="3" t="s">
        <v>78</v>
      </c>
    </row>
    <row r="12" spans="1:17" x14ac:dyDescent="0.2">
      <c r="A12"/>
      <c r="B12" s="4"/>
      <c r="C12" s="4">
        <v>2009</v>
      </c>
      <c r="D12" s="4">
        <v>2010</v>
      </c>
      <c r="E12" s="4">
        <v>2011</v>
      </c>
      <c r="F12" s="4">
        <v>2012</v>
      </c>
      <c r="G12" s="38"/>
      <c r="H12" s="4"/>
      <c r="I12" s="4">
        <v>2009</v>
      </c>
      <c r="J12" s="4">
        <v>2010</v>
      </c>
      <c r="K12" s="4">
        <v>2011</v>
      </c>
      <c r="L12" s="4">
        <v>2012</v>
      </c>
    </row>
    <row r="13" spans="1:17" s="29" customFormat="1" x14ac:dyDescent="0.2">
      <c r="B13" s="29" t="s">
        <v>89</v>
      </c>
      <c r="D13" s="39">
        <f>+'Curr. conv. Multiyear two funds'!J13</f>
        <v>3.7944118357091383E-2</v>
      </c>
      <c r="E13" s="39">
        <f>+'Curr. conv. Multiyear two funds'!K13</f>
        <v>3.7257812235406765E-2</v>
      </c>
      <c r="F13" s="39">
        <f>+'Curr. conv. Multiyear two funds'!L13</f>
        <v>0.10360270458191249</v>
      </c>
      <c r="H13" s="29" t="s">
        <v>89</v>
      </c>
      <c r="I13" s="29">
        <f>C27</f>
        <v>100</v>
      </c>
      <c r="J13" s="53">
        <f t="shared" ref="J13:L13" si="0">D27</f>
        <v>103.79441183570914</v>
      </c>
      <c r="K13" s="53">
        <f t="shared" si="0"/>
        <v>107.66156454296848</v>
      </c>
      <c r="L13" s="53">
        <f t="shared" si="0"/>
        <v>118.81559380914015</v>
      </c>
    </row>
    <row r="14" spans="1:17" s="29" customFormat="1" x14ac:dyDescent="0.2">
      <c r="A14" s="36"/>
      <c r="B14" s="29" t="s">
        <v>91</v>
      </c>
      <c r="D14" s="39">
        <f>+'Curr. conv. Multiyear two funds'!J14</f>
        <v>-1.8713021914408785E-2</v>
      </c>
      <c r="E14" s="39">
        <f>+'Curr. conv. Multiyear two funds'!K14</f>
        <v>-1.7562787609615632E-2</v>
      </c>
      <c r="F14" s="39">
        <f>+'Curr. conv. Multiyear two funds'!L14</f>
        <v>4.8030624778873321E-2</v>
      </c>
      <c r="H14" s="29" t="s">
        <v>91</v>
      </c>
      <c r="I14" s="29">
        <f t="shared" ref="I14:L14" si="1">C40</f>
        <v>100</v>
      </c>
      <c r="J14" s="53">
        <f t="shared" si="1"/>
        <v>98.128697808559124</v>
      </c>
      <c r="K14" s="53">
        <f t="shared" si="1"/>
        <v>96.405284330539246</v>
      </c>
      <c r="L14" s="53">
        <f t="shared" si="1"/>
        <v>101.03569036891997</v>
      </c>
    </row>
    <row r="15" spans="1:17" s="29" customFormat="1" x14ac:dyDescent="0.2">
      <c r="A15" s="36"/>
      <c r="B15" s="29" t="s">
        <v>95</v>
      </c>
      <c r="D15" s="39">
        <f>+'Curr. conv. Multiyear two funds'!J15</f>
        <v>5.6657140271500178E-2</v>
      </c>
      <c r="E15" s="39">
        <f>+'Curr. conv. Multiyear two funds'!K15</f>
        <v>5.482059984502239E-2</v>
      </c>
      <c r="F15" s="39">
        <f>+'Curr. conv. Multiyear two funds'!L15</f>
        <v>5.5572079803039166E-2</v>
      </c>
      <c r="H15" s="29" t="s">
        <v>95</v>
      </c>
      <c r="I15" s="29">
        <f t="shared" ref="I15:L15" si="2">C53</f>
        <v>100</v>
      </c>
      <c r="J15" s="53">
        <f t="shared" si="2"/>
        <v>105.66571402715002</v>
      </c>
      <c r="K15" s="53">
        <f t="shared" si="2"/>
        <v>111.45837185317097</v>
      </c>
      <c r="L15" s="53">
        <f t="shared" si="2"/>
        <v>117.65234538851222</v>
      </c>
    </row>
    <row r="16" spans="1:17" x14ac:dyDescent="0.2">
      <c r="B16" s="10"/>
    </row>
    <row r="17" spans="1:9" x14ac:dyDescent="0.2">
      <c r="B17" s="10"/>
    </row>
    <row r="18" spans="1:9" x14ac:dyDescent="0.2">
      <c r="B18" s="10"/>
    </row>
    <row r="19" spans="1:9" x14ac:dyDescent="0.2">
      <c r="B19" s="21" t="s">
        <v>115</v>
      </c>
      <c r="C19" s="22" t="s">
        <v>326</v>
      </c>
      <c r="D19" s="20"/>
      <c r="E19" s="20"/>
      <c r="F19" s="20"/>
      <c r="G19" s="29"/>
      <c r="H19" s="29"/>
      <c r="I19" s="29"/>
    </row>
    <row r="20" spans="1:9" x14ac:dyDescent="0.2">
      <c r="B20" s="19"/>
      <c r="C20" s="20"/>
      <c r="D20" s="20"/>
      <c r="E20" s="20"/>
      <c r="F20" s="20"/>
      <c r="G20" s="29"/>
      <c r="H20" s="29"/>
      <c r="I20" s="29"/>
    </row>
    <row r="21" spans="1:9" x14ac:dyDescent="0.2">
      <c r="B21" s="46"/>
      <c r="C21" s="50">
        <v>2009</v>
      </c>
      <c r="D21" s="50">
        <v>2010</v>
      </c>
      <c r="E21" s="50">
        <v>2011</v>
      </c>
      <c r="F21" s="50">
        <v>2012</v>
      </c>
      <c r="G21" s="29"/>
      <c r="H21" s="29"/>
      <c r="I21" s="29"/>
    </row>
    <row r="22" spans="1:9" x14ac:dyDescent="0.2">
      <c r="B22" s="46"/>
      <c r="C22" s="51"/>
      <c r="D22" s="51"/>
      <c r="E22" s="51"/>
      <c r="F22" s="51"/>
      <c r="G22" s="29"/>
      <c r="H22" s="29"/>
      <c r="I22" s="29"/>
    </row>
    <row r="23" spans="1:9" x14ac:dyDescent="0.2">
      <c r="B23" s="12" t="s">
        <v>89</v>
      </c>
      <c r="C23" s="47">
        <v>100</v>
      </c>
      <c r="D23" s="49" t="str">
        <f>_xlfn.CONCAT("100", " * (1 + tr1)")</f>
        <v>100 * (1 + tr1)</v>
      </c>
      <c r="E23" s="49" t="str">
        <f>_xlfn.CONCAT("100", " * (1 + tr1) *(1 + tr2)")</f>
        <v>100 * (1 + tr1) *(1 + tr2)</v>
      </c>
      <c r="F23" s="49" t="str">
        <f>_xlfn.CONCAT("100", " * (1 + tr1) *(1 + tr2) * (1 + tr3)")</f>
        <v>100 * (1 + tr1) *(1 + tr2) * (1 + tr3)</v>
      </c>
      <c r="G23" s="29"/>
      <c r="H23" s="29"/>
      <c r="I23" s="29"/>
    </row>
    <row r="24" spans="1:9" x14ac:dyDescent="0.2">
      <c r="B24" s="12"/>
      <c r="C24" s="47"/>
      <c r="D24" s="49"/>
      <c r="E24" s="49"/>
      <c r="F24" s="49"/>
      <c r="G24" s="29"/>
      <c r="H24" s="29"/>
      <c r="I24" s="29"/>
    </row>
    <row r="25" spans="1:9" x14ac:dyDescent="0.2">
      <c r="B25" s="12"/>
      <c r="C25" s="52">
        <v>100</v>
      </c>
      <c r="D25" s="40" t="str">
        <f>_xlfn.CONCAT("100", " * (1 + ",ROUND($D$13,3), ")")</f>
        <v>100 * (1 + 0,038)</v>
      </c>
      <c r="E25" s="40" t="str">
        <f>_xlfn.CONCAT("100", " * (1 + ",ROUND($D$13,3), ")", " * (1 + ",ROUND($E$13,3), ")")</f>
        <v>100 * (1 + 0,038) * (1 + 0,037)</v>
      </c>
      <c r="F25" s="40" t="str">
        <f>_xlfn.CONCAT("100", " * (1 + ",ROUND($D$13,3), ")", " * (1 + ",ROUND($E$13,3), ")", " * (1 + ",ROUND($F$13,3), ")")</f>
        <v>100 * (1 + 0,038) * (1 + 0,037) * (1 + 0,104)</v>
      </c>
      <c r="G25" s="29"/>
      <c r="H25" s="29"/>
      <c r="I25" s="29"/>
    </row>
    <row r="26" spans="1:9" x14ac:dyDescent="0.2">
      <c r="B26" s="12"/>
      <c r="C26" s="52"/>
      <c r="D26" s="40"/>
      <c r="E26" s="40"/>
      <c r="F26" s="40"/>
      <c r="G26" s="29"/>
      <c r="H26" s="29"/>
      <c r="I26" s="29"/>
    </row>
    <row r="27" spans="1:9" x14ac:dyDescent="0.2">
      <c r="B27" s="12"/>
      <c r="C27" s="47">
        <v>100</v>
      </c>
      <c r="D27" s="41">
        <f>100 * (1 + $D$13)</f>
        <v>103.79441183570914</v>
      </c>
      <c r="E27" s="41">
        <f>100 * (1 + $D$13) * (1 + $E$13)</f>
        <v>107.66156454296848</v>
      </c>
      <c r="F27" s="41">
        <f>100 * (1 + $D$13) * (1 + $E$13) * (1 + $F$13)</f>
        <v>118.81559380914015</v>
      </c>
      <c r="G27" s="29"/>
      <c r="H27" s="29"/>
      <c r="I27" s="29"/>
    </row>
    <row r="28" spans="1:9" x14ac:dyDescent="0.2">
      <c r="B28" s="12"/>
      <c r="C28" s="47"/>
      <c r="D28" s="48"/>
      <c r="E28" s="48"/>
      <c r="F28" s="48"/>
      <c r="G28" s="29"/>
      <c r="H28" s="29"/>
      <c r="I28" s="29"/>
    </row>
    <row r="29" spans="1:9" x14ac:dyDescent="0.2">
      <c r="A29"/>
    </row>
    <row r="30" spans="1:9" x14ac:dyDescent="0.2">
      <c r="A30"/>
    </row>
    <row r="31" spans="1:9" x14ac:dyDescent="0.2">
      <c r="A31"/>
    </row>
    <row r="32" spans="1:9" x14ac:dyDescent="0.2">
      <c r="B32" s="21" t="s">
        <v>115</v>
      </c>
      <c r="C32" s="22" t="s">
        <v>327</v>
      </c>
      <c r="D32" s="20"/>
      <c r="E32" s="20"/>
      <c r="F32" s="20"/>
      <c r="G32" s="29"/>
      <c r="H32" s="29"/>
      <c r="I32" s="29"/>
    </row>
    <row r="33" spans="1:9" x14ac:dyDescent="0.2">
      <c r="B33" s="19"/>
      <c r="C33" s="20"/>
      <c r="D33" s="20"/>
      <c r="E33" s="20"/>
      <c r="F33" s="20"/>
      <c r="G33" s="29"/>
      <c r="H33" s="29"/>
      <c r="I33" s="29"/>
    </row>
    <row r="34" spans="1:9" x14ac:dyDescent="0.2">
      <c r="B34" s="46"/>
      <c r="C34" s="50">
        <v>2009</v>
      </c>
      <c r="D34" s="50">
        <v>2010</v>
      </c>
      <c r="E34" s="50">
        <v>2011</v>
      </c>
      <c r="F34" s="50">
        <v>2012</v>
      </c>
      <c r="G34" s="29"/>
      <c r="H34" s="29"/>
      <c r="I34" s="29"/>
    </row>
    <row r="35" spans="1:9" x14ac:dyDescent="0.2">
      <c r="B35" s="46"/>
      <c r="C35" s="51"/>
      <c r="D35" s="51"/>
      <c r="E35" s="51"/>
      <c r="F35" s="51"/>
      <c r="G35" s="29"/>
      <c r="H35" s="29"/>
      <c r="I35" s="29"/>
    </row>
    <row r="36" spans="1:9" x14ac:dyDescent="0.2">
      <c r="B36" s="12" t="s">
        <v>91</v>
      </c>
      <c r="C36" s="47">
        <v>100</v>
      </c>
      <c r="D36" s="49" t="str">
        <f>_xlfn.CONCAT("100", " * (1 + cg1)")</f>
        <v>100 * (1 + cg1)</v>
      </c>
      <c r="E36" s="49" t="str">
        <f>_xlfn.CONCAT("100", " * (1 + cg1) *(1 + cg2)")</f>
        <v>100 * (1 + cg1) *(1 + cg2)</v>
      </c>
      <c r="F36" s="49" t="str">
        <f>_xlfn.CONCAT("100", " * (1 + cg1) *(1 + cg2) * (1 + cg3)")</f>
        <v>100 * (1 + cg1) *(1 + cg2) * (1 + cg3)</v>
      </c>
      <c r="G36" s="29"/>
      <c r="H36" s="29"/>
      <c r="I36" s="29"/>
    </row>
    <row r="37" spans="1:9" x14ac:dyDescent="0.2">
      <c r="B37" s="12"/>
      <c r="C37" s="47"/>
      <c r="D37" s="49"/>
      <c r="E37" s="49"/>
      <c r="F37" s="49"/>
      <c r="G37" s="29"/>
      <c r="H37" s="29"/>
      <c r="I37" s="29"/>
    </row>
    <row r="38" spans="1:9" x14ac:dyDescent="0.2">
      <c r="B38" s="12"/>
      <c r="C38" s="52">
        <v>100</v>
      </c>
      <c r="D38" s="40" t="str">
        <f>_xlfn.CONCAT("100", " * (1 + ",ROUND($D$14,3), ")")</f>
        <v>100 * (1 + -0,019)</v>
      </c>
      <c r="E38" s="40" t="str">
        <f>_xlfn.CONCAT("100", " * (1 + ",ROUND($D$14,3), ")", " * (1 + ",ROUND($E$14,3), ")")</f>
        <v>100 * (1 + -0,019) * (1 + -0,018)</v>
      </c>
      <c r="F38" s="40" t="str">
        <f>_xlfn.CONCAT("100", " * (1 + ",ROUND($D$14,3), ")", " * (1 + ",ROUND($E$14,3), ")", " * (1 + ",ROUND($F$14,3), ")")</f>
        <v>100 * (1 + -0,019) * (1 + -0,018) * (1 + 0,048)</v>
      </c>
      <c r="G38" s="29"/>
      <c r="H38" s="29"/>
      <c r="I38" s="29"/>
    </row>
    <row r="39" spans="1:9" x14ac:dyDescent="0.2">
      <c r="B39" s="12"/>
      <c r="C39" s="52"/>
      <c r="D39" s="40"/>
      <c r="E39" s="40"/>
      <c r="F39" s="40"/>
      <c r="G39" s="29"/>
      <c r="H39" s="29"/>
      <c r="I39" s="29"/>
    </row>
    <row r="40" spans="1:9" x14ac:dyDescent="0.2">
      <c r="B40" s="12"/>
      <c r="C40" s="47">
        <v>100</v>
      </c>
      <c r="D40" s="41">
        <f>100 * (1 + $D$14)</f>
        <v>98.128697808559124</v>
      </c>
      <c r="E40" s="41">
        <f>100 * (1 + $D$14) * (1 + $E$14)</f>
        <v>96.405284330539246</v>
      </c>
      <c r="F40" s="41">
        <f>100 * (1 + $D$14) * (1 + $E$14) * (1 + $F$14)</f>
        <v>101.03569036891997</v>
      </c>
      <c r="G40" s="29"/>
      <c r="H40" s="29"/>
      <c r="I40" s="29"/>
    </row>
    <row r="41" spans="1:9" x14ac:dyDescent="0.2">
      <c r="B41" s="12"/>
      <c r="C41" s="47"/>
      <c r="D41" s="48"/>
      <c r="E41" s="48"/>
      <c r="F41" s="48"/>
      <c r="G41" s="29"/>
      <c r="H41" s="29"/>
      <c r="I41" s="29"/>
    </row>
    <row r="42" spans="1:9" x14ac:dyDescent="0.2">
      <c r="A42"/>
    </row>
    <row r="43" spans="1:9" x14ac:dyDescent="0.2">
      <c r="A43"/>
    </row>
    <row r="44" spans="1:9" x14ac:dyDescent="0.2">
      <c r="A44"/>
    </row>
    <row r="45" spans="1:9" x14ac:dyDescent="0.2">
      <c r="B45" s="21" t="s">
        <v>115</v>
      </c>
      <c r="C45" s="22" t="s">
        <v>328</v>
      </c>
      <c r="D45" s="20"/>
      <c r="E45" s="20"/>
      <c r="F45" s="20"/>
      <c r="G45" s="29"/>
      <c r="H45" s="29"/>
      <c r="I45" s="29"/>
    </row>
    <row r="46" spans="1:9" x14ac:dyDescent="0.2">
      <c r="B46" s="19"/>
      <c r="C46" s="20"/>
      <c r="D46" s="20"/>
      <c r="E46" s="20"/>
      <c r="F46" s="20"/>
      <c r="G46" s="29"/>
      <c r="H46" s="29"/>
      <c r="I46" s="29"/>
    </row>
    <row r="47" spans="1:9" x14ac:dyDescent="0.2">
      <c r="B47" s="46"/>
      <c r="C47" s="50">
        <v>2009</v>
      </c>
      <c r="D47" s="50">
        <v>2010</v>
      </c>
      <c r="E47" s="50">
        <v>2011</v>
      </c>
      <c r="F47" s="50">
        <v>2012</v>
      </c>
      <c r="G47" s="29"/>
      <c r="H47" s="29"/>
      <c r="I47" s="29"/>
    </row>
    <row r="48" spans="1:9" x14ac:dyDescent="0.2">
      <c r="B48" s="46"/>
      <c r="C48" s="51"/>
      <c r="D48" s="51"/>
      <c r="E48" s="51"/>
      <c r="F48" s="51"/>
      <c r="G48" s="29"/>
      <c r="H48" s="29"/>
      <c r="I48" s="29"/>
    </row>
    <row r="49" spans="1:9" x14ac:dyDescent="0.2">
      <c r="B49" s="12" t="s">
        <v>95</v>
      </c>
      <c r="C49" s="47">
        <v>100</v>
      </c>
      <c r="D49" s="49" t="str">
        <f>_xlfn.CONCAT("100", " * (1 + dir1)")</f>
        <v>100 * (1 + dir1)</v>
      </c>
      <c r="E49" s="49" t="str">
        <f>_xlfn.CONCAT("100", " * (1 + dir1) *(1 + dir2)")</f>
        <v>100 * (1 + dir1) *(1 + dir2)</v>
      </c>
      <c r="F49" s="49" t="str">
        <f>_xlfn.CONCAT("100", " * (1 + dir1) *(1 + dir2) * (1 + dir3)")</f>
        <v>100 * (1 + dir1) *(1 + dir2) * (1 + dir3)</v>
      </c>
      <c r="G49" s="29"/>
      <c r="H49" s="29"/>
      <c r="I49" s="29"/>
    </row>
    <row r="50" spans="1:9" x14ac:dyDescent="0.2">
      <c r="B50" s="12"/>
      <c r="C50" s="47"/>
      <c r="D50" s="49"/>
      <c r="E50" s="49"/>
      <c r="F50" s="49"/>
      <c r="G50" s="29"/>
      <c r="H50" s="29"/>
      <c r="I50" s="29"/>
    </row>
    <row r="51" spans="1:9" x14ac:dyDescent="0.2">
      <c r="B51" s="12"/>
      <c r="C51" s="52">
        <v>100</v>
      </c>
      <c r="D51" s="40" t="str">
        <f>_xlfn.CONCAT("100", " * (1 + ",ROUND($D$15,3), ")")</f>
        <v>100 * (1 + 0,057)</v>
      </c>
      <c r="E51" s="40" t="str">
        <f>_xlfn.CONCAT("100", " * (1 + ",ROUND($D$15,3), ")", " * (1 + ",ROUND($E$15,3), ")")</f>
        <v>100 * (1 + 0,057) * (1 + 0,055)</v>
      </c>
      <c r="F51" s="40" t="str">
        <f>_xlfn.CONCAT("100", " * (1 + ",ROUND($D$15,3), ")", " * (1 + ",ROUND($E$15,3), ")", " * (1 + ",ROUND($F$15,3), ")")</f>
        <v>100 * (1 + 0,057) * (1 + 0,055) * (1 + 0,056)</v>
      </c>
      <c r="G51" s="29"/>
      <c r="H51" s="29"/>
      <c r="I51" s="29"/>
    </row>
    <row r="52" spans="1:9" x14ac:dyDescent="0.2">
      <c r="B52" s="12"/>
      <c r="C52" s="52"/>
      <c r="D52" s="40"/>
      <c r="E52" s="40"/>
      <c r="F52" s="40"/>
      <c r="G52" s="29"/>
      <c r="H52" s="29"/>
      <c r="I52" s="29"/>
    </row>
    <row r="53" spans="1:9" x14ac:dyDescent="0.2">
      <c r="B53" s="12"/>
      <c r="C53" s="47">
        <v>100</v>
      </c>
      <c r="D53" s="41">
        <f>100 * (1 + $D$15)</f>
        <v>105.66571402715002</v>
      </c>
      <c r="E53" s="41">
        <f>100 * (1 + $D$15) * (1 + $E$15)</f>
        <v>111.45837185317097</v>
      </c>
      <c r="F53" s="41">
        <f>100 * (1 + $D$15) * (1 + $E$15) * (1 + $F$15)</f>
        <v>117.65234538851222</v>
      </c>
      <c r="G53" s="29"/>
      <c r="H53" s="29"/>
      <c r="I53" s="29"/>
    </row>
    <row r="54" spans="1:9" x14ac:dyDescent="0.2">
      <c r="B54" s="12"/>
      <c r="C54" s="47"/>
      <c r="D54" s="48"/>
      <c r="E54" s="48"/>
      <c r="F54" s="48"/>
      <c r="G54" s="29"/>
      <c r="H54" s="29"/>
      <c r="I54" s="29"/>
    </row>
    <row r="55" spans="1:9" x14ac:dyDescent="0.2">
      <c r="A55"/>
    </row>
    <row r="56" spans="1:9" x14ac:dyDescent="0.2">
      <c r="A56"/>
    </row>
  </sheetData>
  <mergeCells count="2">
    <mergeCell ref="H1:L1"/>
    <mergeCell ref="G4:Q7"/>
  </mergeCells>
  <hyperlinks>
    <hyperlink ref="H1:L1" location="'Table of Contents'!A1" display="Back to Table of Contents" xr:uid="{681E3207-8587-4D2F-B38A-0A3C005EEA1E}"/>
  </hyperlink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B93A5-0CC5-4A32-8683-664795D011E1}">
  <sheetPr>
    <tabColor theme="8"/>
  </sheetPr>
  <dimension ref="A1:W62"/>
  <sheetViews>
    <sheetView showGridLines="0" topLeftCell="B1" zoomScale="73" zoomScaleNormal="100" zoomScalePageLayoutView="85" workbookViewId="0">
      <pane ySplit="7" topLeftCell="A8" activePane="bottomLeft" state="frozen"/>
      <selection activeCell="B16" sqref="B16"/>
      <selection pane="bottomLeft" activeCell="F4" sqref="F4:S7"/>
    </sheetView>
  </sheetViews>
  <sheetFormatPr defaultColWidth="8.7109375" defaultRowHeight="12.75" x14ac:dyDescent="0.2"/>
  <cols>
    <col min="1" max="1" width="7.28515625" style="7" customWidth="1"/>
    <col min="2" max="2" width="19.85546875" customWidth="1"/>
    <col min="3" max="7" width="12.7109375" customWidth="1"/>
    <col min="8" max="8" width="9.28515625" customWidth="1"/>
    <col min="9" max="16" width="12.7109375" customWidth="1"/>
    <col min="17" max="17" width="14.28515625" customWidth="1"/>
    <col min="19" max="19" width="21.5703125" customWidth="1"/>
    <col min="20" max="20" width="21.42578125" customWidth="1"/>
    <col min="23" max="23" width="46.28515625" bestFit="1" customWidth="1"/>
  </cols>
  <sheetData>
    <row r="1" spans="1:23" s="1" customFormat="1" ht="34.9" customHeight="1" x14ac:dyDescent="0.2">
      <c r="A1" s="6"/>
      <c r="B1" s="2" t="str">
        <f ca="1">MID(CELL("filename",A1),FIND("]",CELL("filename",A1))+ 1,255)&amp;" - calculation example"</f>
        <v>Local currency conversion - calculation example</v>
      </c>
      <c r="J1" s="181" t="s">
        <v>68</v>
      </c>
      <c r="K1" s="181"/>
      <c r="L1" s="181"/>
      <c r="M1" s="181"/>
      <c r="N1" s="181"/>
    </row>
    <row r="3" spans="1:23" x14ac:dyDescent="0.2">
      <c r="A3"/>
      <c r="F3" s="55" t="s">
        <v>363</v>
      </c>
    </row>
    <row r="4" spans="1:23" ht="12.75" customHeight="1" x14ac:dyDescent="0.2">
      <c r="A4"/>
      <c r="B4" s="12" t="s">
        <v>69</v>
      </c>
      <c r="C4" s="12" t="s">
        <v>70</v>
      </c>
      <c r="D4" s="12"/>
      <c r="F4" s="186" t="s">
        <v>364</v>
      </c>
      <c r="G4" s="186"/>
      <c r="H4" s="186"/>
      <c r="I4" s="186"/>
      <c r="J4" s="186"/>
      <c r="K4" s="186"/>
      <c r="L4" s="186"/>
      <c r="M4" s="186"/>
      <c r="N4" s="186"/>
      <c r="O4" s="186"/>
      <c r="P4" s="186"/>
      <c r="Q4" s="186"/>
      <c r="R4" s="186"/>
      <c r="S4" s="186"/>
    </row>
    <row r="5" spans="1:23" x14ac:dyDescent="0.2">
      <c r="A5"/>
      <c r="B5" s="12" t="s">
        <v>72</v>
      </c>
      <c r="C5" s="12" t="s">
        <v>73</v>
      </c>
      <c r="D5" s="12"/>
      <c r="F5" s="186"/>
      <c r="G5" s="186"/>
      <c r="H5" s="186"/>
      <c r="I5" s="186"/>
      <c r="J5" s="186"/>
      <c r="K5" s="186"/>
      <c r="L5" s="186"/>
      <c r="M5" s="186"/>
      <c r="N5" s="186"/>
      <c r="O5" s="186"/>
      <c r="P5" s="186"/>
      <c r="Q5" s="186"/>
      <c r="R5" s="186"/>
      <c r="S5" s="186"/>
    </row>
    <row r="6" spans="1:23" x14ac:dyDescent="0.2">
      <c r="A6"/>
      <c r="B6" s="12" t="s">
        <v>329</v>
      </c>
      <c r="C6" s="12" t="s">
        <v>330</v>
      </c>
      <c r="D6" s="12"/>
      <c r="F6" s="186"/>
      <c r="G6" s="186"/>
      <c r="H6" s="186"/>
      <c r="I6" s="186"/>
      <c r="J6" s="186"/>
      <c r="K6" s="186"/>
      <c r="L6" s="186"/>
      <c r="M6" s="186"/>
      <c r="N6" s="186"/>
      <c r="O6" s="186"/>
      <c r="P6" s="186"/>
      <c r="Q6" s="186"/>
      <c r="R6" s="186"/>
      <c r="S6" s="186"/>
    </row>
    <row r="7" spans="1:23" x14ac:dyDescent="0.2">
      <c r="A7"/>
      <c r="B7" s="12" t="s">
        <v>74</v>
      </c>
      <c r="C7" s="12" t="s">
        <v>331</v>
      </c>
      <c r="D7" s="12"/>
      <c r="F7" s="186"/>
      <c r="G7" s="186"/>
      <c r="H7" s="186"/>
      <c r="I7" s="186"/>
      <c r="J7" s="186"/>
      <c r="K7" s="186"/>
      <c r="L7" s="186"/>
      <c r="M7" s="186"/>
      <c r="N7" s="186"/>
      <c r="O7" s="186"/>
      <c r="P7" s="186"/>
      <c r="Q7" s="186"/>
      <c r="R7" s="186"/>
      <c r="S7" s="186"/>
    </row>
    <row r="8" spans="1:23" x14ac:dyDescent="0.2">
      <c r="A8"/>
    </row>
    <row r="9" spans="1:23" x14ac:dyDescent="0.2">
      <c r="A9"/>
      <c r="B9" s="142" t="s">
        <v>332</v>
      </c>
    </row>
    <row r="10" spans="1:23" x14ac:dyDescent="0.2">
      <c r="A10"/>
    </row>
    <row r="11" spans="1:23" x14ac:dyDescent="0.2">
      <c r="A11"/>
      <c r="B11" s="3" t="s">
        <v>301</v>
      </c>
      <c r="I11" s="3" t="s">
        <v>77</v>
      </c>
      <c r="K11" s="3"/>
      <c r="S11" s="3" t="s">
        <v>333</v>
      </c>
    </row>
    <row r="12" spans="1:23" ht="51" x14ac:dyDescent="0.2">
      <c r="A12"/>
      <c r="B12" s="4" t="s">
        <v>79</v>
      </c>
      <c r="C12" s="37" t="s">
        <v>80</v>
      </c>
      <c r="D12" s="37" t="s">
        <v>315</v>
      </c>
      <c r="E12" s="37" t="s">
        <v>82</v>
      </c>
      <c r="F12" s="37" t="s">
        <v>334</v>
      </c>
      <c r="G12" s="37" t="s">
        <v>335</v>
      </c>
      <c r="I12" s="4"/>
      <c r="J12" s="4" t="s">
        <v>85</v>
      </c>
      <c r="K12" s="37" t="s">
        <v>82</v>
      </c>
      <c r="L12" s="4" t="s">
        <v>79</v>
      </c>
      <c r="M12" s="4" t="s">
        <v>80</v>
      </c>
      <c r="N12" s="37" t="s">
        <v>83</v>
      </c>
      <c r="O12" s="37" t="s">
        <v>84</v>
      </c>
      <c r="P12" s="37" t="s">
        <v>336</v>
      </c>
      <c r="Q12" s="37" t="s">
        <v>337</v>
      </c>
      <c r="S12" s="4"/>
      <c r="T12" s="4"/>
    </row>
    <row r="13" spans="1:23" s="29" customFormat="1" x14ac:dyDescent="0.2">
      <c r="A13" s="36"/>
      <c r="B13" s="94">
        <v>2010</v>
      </c>
      <c r="C13" s="94">
        <v>4</v>
      </c>
      <c r="D13" s="117">
        <v>271000000</v>
      </c>
      <c r="E13" s="95">
        <v>40543</v>
      </c>
      <c r="F13" s="55">
        <v>1.1621999999999999</v>
      </c>
      <c r="G13" s="117">
        <f>D13*F13</f>
        <v>314956200</v>
      </c>
      <c r="H13"/>
      <c r="I13" s="29" t="str">
        <f>'Currency conversion - cashflows'!B19</f>
        <v>Distribution 3</v>
      </c>
      <c r="J13" s="30">
        <f>'Currency conversion - cashflows'!C19</f>
        <v>7000000</v>
      </c>
      <c r="K13" s="92">
        <f>'Currency conversion - cashflows'!D19</f>
        <v>40690</v>
      </c>
      <c r="L13" s="29">
        <f>'Currency conversion - cashflows'!E19</f>
        <v>2011</v>
      </c>
      <c r="M13" s="29">
        <f>'Currency conversion - cashflows'!F19</f>
        <v>2</v>
      </c>
      <c r="N13" s="32">
        <f>'Currency conversion - cashflows'!G19</f>
        <v>147</v>
      </c>
      <c r="O13" s="32">
        <f>'Currency conversion - cashflows'!H19</f>
        <v>57</v>
      </c>
      <c r="P13" s="178">
        <f>F13</f>
        <v>1.1621999999999999</v>
      </c>
      <c r="Q13" s="13">
        <f>J13*P13</f>
        <v>8135399.9999999991</v>
      </c>
      <c r="R13"/>
      <c r="S13" t="s">
        <v>89</v>
      </c>
      <c r="T13" s="57">
        <f>D29</f>
        <v>2.9341425671737784E-2</v>
      </c>
      <c r="V13" s="128" t="s">
        <v>87</v>
      </c>
      <c r="W13" s="122"/>
    </row>
    <row r="14" spans="1:23" s="29" customFormat="1" x14ac:dyDescent="0.2">
      <c r="B14" s="94">
        <v>2011</v>
      </c>
      <c r="C14" s="94">
        <v>4</v>
      </c>
      <c r="D14" s="117">
        <v>290000000</v>
      </c>
      <c r="E14" s="95">
        <v>40908</v>
      </c>
      <c r="F14" s="55">
        <v>1.1621999999999999</v>
      </c>
      <c r="G14" s="117">
        <f>D14*F14</f>
        <v>337038000</v>
      </c>
      <c r="H14"/>
      <c r="I14" s="29" t="str">
        <f>'Currency conversion - cashflows'!B20</f>
        <v>Capital call 5</v>
      </c>
      <c r="J14" s="30">
        <f>'Currency conversion - cashflows'!C20</f>
        <v>25000000</v>
      </c>
      <c r="K14" s="92">
        <f>'Currency conversion - cashflows'!D20</f>
        <v>40808</v>
      </c>
      <c r="L14" s="29">
        <f>'Currency conversion - cashflows'!E20</f>
        <v>2011</v>
      </c>
      <c r="M14" s="29">
        <f>'Currency conversion - cashflows'!F20</f>
        <v>3</v>
      </c>
      <c r="N14" s="32">
        <f>'Currency conversion - cashflows'!G20</f>
        <v>265</v>
      </c>
      <c r="O14" s="32">
        <f>'Currency conversion - cashflows'!H20</f>
        <v>84</v>
      </c>
      <c r="P14" s="179">
        <f>P13</f>
        <v>1.1621999999999999</v>
      </c>
      <c r="Q14" s="13">
        <f t="shared" ref="Q14:Q15" si="0">J14*P14</f>
        <v>29054999.999999996</v>
      </c>
      <c r="R14"/>
      <c r="S14" s="29" t="s">
        <v>91</v>
      </c>
      <c r="T14" s="57">
        <f>D45</f>
        <v>-2.2006069253803322E-2</v>
      </c>
      <c r="V14" s="123"/>
      <c r="W14" s="124"/>
    </row>
    <row r="15" spans="1:23" s="29" customFormat="1" x14ac:dyDescent="0.2">
      <c r="A15" s="36"/>
      <c r="B15" s="36"/>
      <c r="C15" s="36"/>
      <c r="D15" s="36"/>
      <c r="E15" s="36"/>
      <c r="F15" s="36"/>
      <c r="G15" s="36"/>
      <c r="H15" s="36"/>
      <c r="I15" s="94" t="str">
        <f>'Currency conversion - cashflows'!B21</f>
        <v>Distribution 4</v>
      </c>
      <c r="J15" s="117">
        <f>'Currency conversion - cashflows'!C21</f>
        <v>7000000</v>
      </c>
      <c r="K15" s="92">
        <f>'Currency conversion - cashflows'!D21</f>
        <v>40855</v>
      </c>
      <c r="L15" s="29">
        <f>'Currency conversion - cashflows'!E21</f>
        <v>2011</v>
      </c>
      <c r="M15" s="29">
        <f>'Currency conversion - cashflows'!F21</f>
        <v>4</v>
      </c>
      <c r="N15" s="29">
        <f>'Currency conversion - cashflows'!G21</f>
        <v>312</v>
      </c>
      <c r="O15" s="29">
        <f>'Currency conversion - cashflows'!H21</f>
        <v>39</v>
      </c>
      <c r="P15" s="179">
        <f>P14</f>
        <v>1.1621999999999999</v>
      </c>
      <c r="Q15" s="13">
        <f t="shared" si="0"/>
        <v>8135399.9999999991</v>
      </c>
      <c r="R15" s="32"/>
      <c r="S15" s="29" t="s">
        <v>95</v>
      </c>
      <c r="T15" s="57">
        <f>D61</f>
        <v>5.1347494925541103E-2</v>
      </c>
      <c r="U15"/>
      <c r="V15" s="125" t="s">
        <v>92</v>
      </c>
      <c r="W15" s="124" t="s">
        <v>93</v>
      </c>
    </row>
    <row r="16" spans="1:23" s="29" customFormat="1" x14ac:dyDescent="0.2">
      <c r="A16" s="36"/>
      <c r="D16" s="30"/>
      <c r="J16"/>
      <c r="K16"/>
      <c r="L16"/>
      <c r="M16"/>
      <c r="N16"/>
      <c r="O16"/>
      <c r="P16"/>
      <c r="V16" s="125" t="s">
        <v>96</v>
      </c>
      <c r="W16" s="124" t="s">
        <v>97</v>
      </c>
    </row>
    <row r="17" spans="2:23" x14ac:dyDescent="0.2">
      <c r="B17" s="10"/>
      <c r="V17" s="125" t="s">
        <v>99</v>
      </c>
      <c r="W17" s="124" t="s">
        <v>100</v>
      </c>
    </row>
    <row r="18" spans="2:23" s="3" customFormat="1" x14ac:dyDescent="0.2">
      <c r="B18" s="21" t="s">
        <v>115</v>
      </c>
      <c r="C18" s="22" t="s">
        <v>338</v>
      </c>
      <c r="D18" s="20"/>
      <c r="E18" s="20"/>
      <c r="F18" s="20"/>
      <c r="G18" s="20"/>
      <c r="H18" s="20"/>
      <c r="I18" s="12"/>
      <c r="J18" s="12"/>
      <c r="K18" s="12"/>
      <c r="L18"/>
      <c r="M18"/>
      <c r="N18"/>
      <c r="O18"/>
      <c r="P18"/>
      <c r="Q18"/>
      <c r="S18" s="166" t="str">
        <f>'Currency conversion - returns'!S19</f>
        <v>Results - in GBP</v>
      </c>
      <c r="T18" s="166"/>
      <c r="V18" s="125" t="s">
        <v>102</v>
      </c>
      <c r="W18" s="124" t="s">
        <v>103</v>
      </c>
    </row>
    <row r="19" spans="2:23" x14ac:dyDescent="0.2">
      <c r="B19" s="19"/>
      <c r="C19" s="20"/>
      <c r="D19" s="20"/>
      <c r="E19" s="20"/>
      <c r="F19" s="20"/>
      <c r="G19" s="20"/>
      <c r="H19" s="20"/>
      <c r="I19" s="12"/>
      <c r="J19" s="12"/>
      <c r="K19" s="12"/>
      <c r="S19" s="156"/>
      <c r="T19" s="165" t="str">
        <f>'Currency conversion - returns'!U20</f>
        <v>Single year return 2011</v>
      </c>
      <c r="V19" s="125" t="s">
        <v>105</v>
      </c>
      <c r="W19" s="124" t="s">
        <v>106</v>
      </c>
    </row>
    <row r="20" spans="2:23" x14ac:dyDescent="0.2">
      <c r="B20" s="19" t="s">
        <v>89</v>
      </c>
      <c r="C20" s="20" t="s">
        <v>117</v>
      </c>
      <c r="D20" s="33" t="s">
        <v>118</v>
      </c>
      <c r="E20" s="33"/>
      <c r="F20" s="33"/>
      <c r="G20" s="12"/>
      <c r="H20" s="12"/>
      <c r="I20" s="12"/>
      <c r="J20" s="12"/>
      <c r="K20" s="12"/>
      <c r="S20" s="144" t="str">
        <f>'Currency conversion - returns'!S21</f>
        <v>Total return</v>
      </c>
      <c r="T20" s="176">
        <f>'Currency conversion - returns'!U21</f>
        <v>2.9341425671737781E-2</v>
      </c>
      <c r="V20" s="126"/>
      <c r="W20" s="124"/>
    </row>
    <row r="21" spans="2:23" x14ac:dyDescent="0.2">
      <c r="B21" s="19"/>
      <c r="C21" s="20"/>
      <c r="D21" s="12"/>
      <c r="E21" s="12" t="s">
        <v>119</v>
      </c>
      <c r="F21" s="12"/>
      <c r="G21" s="12"/>
      <c r="H21" s="12"/>
      <c r="I21" s="12"/>
      <c r="J21" s="12"/>
      <c r="K21" s="12"/>
      <c r="S21" s="145" t="str">
        <f>'Currency conversion - returns'!S22</f>
        <v>Capital growth</v>
      </c>
      <c r="T21" s="176">
        <f>'Currency conversion - returns'!U22</f>
        <v>-2.2006069253803336E-2</v>
      </c>
      <c r="V21" s="123"/>
      <c r="W21" s="124"/>
    </row>
    <row r="22" spans="2:23" ht="12.75" customHeight="1" x14ac:dyDescent="0.2">
      <c r="B22" s="19"/>
      <c r="C22" s="20"/>
      <c r="D22" s="12"/>
      <c r="E22" s="12"/>
      <c r="F22" s="12"/>
      <c r="G22" s="12"/>
      <c r="H22" s="12"/>
      <c r="I22" s="12"/>
      <c r="J22" s="12"/>
      <c r="K22" s="12"/>
      <c r="S22" s="146" t="str">
        <f>'Currency conversion - returns'!S23</f>
        <v>Distributed income return</v>
      </c>
      <c r="T22" s="177">
        <f>'Currency conversion - returns'!U23</f>
        <v>5.1347494925541116E-2</v>
      </c>
      <c r="V22" s="182" t="s">
        <v>110</v>
      </c>
      <c r="W22" s="183"/>
    </row>
    <row r="23" spans="2:23" x14ac:dyDescent="0.2">
      <c r="B23" s="19"/>
      <c r="C23" s="20" t="s">
        <v>117</v>
      </c>
      <c r="D23" s="23"/>
      <c r="E23" s="23" t="str">
        <f>_xlfn.CONCAT(TEXT($G$14,"0,0"), " - ",TEXT($G$13,"0,0"), " - ",TEXT($Q$14,"0,0")," + ",TEXT($Q$13,"0,0")," + ",TEXT($Q$15,"0,0"))</f>
        <v>337038000,0 - 314956200,0 - 29055000,0 + 8135400,0 + 8135400,0</v>
      </c>
      <c r="F23" s="23"/>
      <c r="G23" s="23"/>
      <c r="H23" s="20"/>
      <c r="I23" s="12"/>
      <c r="J23" s="12"/>
      <c r="K23" s="12"/>
      <c r="V23" s="182"/>
      <c r="W23" s="183"/>
    </row>
    <row r="24" spans="2:23" x14ac:dyDescent="0.2">
      <c r="B24" s="19"/>
      <c r="C24" s="20"/>
      <c r="D24" s="20" t="str">
        <f>_xlfn.CONCAT(TEXT($G$13,"0,0")," + (",TEXT($Q$14,"0,0")," * ","(365 - ",TEXT($N$14,"0,0"),") / 365)"," - (",TEXT($Q$13,"0,0")," * (365 - ",TEXT($N$13,"0,0"),") / 365)"," - (",TEXT($Q$15,"0,0")," * (365 - ",TEXT($N$15,"0,0"),") / 365)")</f>
        <v>314956200,0 + (29055000,0 * (365 - 265,0) / 365) - (8135400,0 * (365 - 147,0) / 365) - (8135400,0 * (365 - 312,0) / 365)</v>
      </c>
      <c r="E24" s="20"/>
      <c r="F24" s="20"/>
      <c r="G24" s="20"/>
      <c r="H24" s="20"/>
      <c r="I24" s="12"/>
      <c r="J24" s="12"/>
      <c r="K24" s="12"/>
      <c r="V24" s="184"/>
      <c r="W24" s="185"/>
    </row>
    <row r="25" spans="2:23" ht="12.75" customHeight="1" x14ac:dyDescent="0.2">
      <c r="B25" s="19"/>
      <c r="C25" s="20"/>
      <c r="D25" s="20"/>
      <c r="E25" s="20"/>
      <c r="F25" s="20"/>
      <c r="G25" s="20"/>
      <c r="H25" s="20"/>
      <c r="I25" s="12"/>
      <c r="J25" s="12"/>
      <c r="K25" s="12"/>
      <c r="S25" s="187" t="s">
        <v>339</v>
      </c>
      <c r="T25" s="187"/>
      <c r="U25" s="155"/>
      <c r="V25" s="155"/>
    </row>
    <row r="26" spans="2:23" x14ac:dyDescent="0.2">
      <c r="B26" s="19"/>
      <c r="C26" s="20" t="s">
        <v>117</v>
      </c>
      <c r="D26" s="104">
        <f>$G$14 - $G$13 - $Q$14 + $Q$13 + $Q$15</f>
        <v>9297600.0000000019</v>
      </c>
      <c r="E26" s="20"/>
      <c r="F26" s="20"/>
      <c r="G26" s="20"/>
      <c r="H26" s="20"/>
      <c r="I26" s="12"/>
      <c r="J26" s="12"/>
      <c r="K26" s="12"/>
      <c r="S26" s="187"/>
      <c r="T26" s="187"/>
      <c r="U26" s="155"/>
      <c r="V26" s="155"/>
    </row>
    <row r="27" spans="2:23" x14ac:dyDescent="0.2">
      <c r="B27" s="19"/>
      <c r="C27" s="20"/>
      <c r="D27" s="99">
        <f>$G$13+($Q$14*(365-$N$14)/365)-($Q$13*(365-$N$13)/365)-($Q$15*(365-$N$15)/365)</f>
        <v>316876218.08219177</v>
      </c>
      <c r="E27" s="20"/>
      <c r="F27" s="20"/>
      <c r="G27" s="20"/>
      <c r="H27" s="20"/>
      <c r="I27" s="12"/>
      <c r="J27" s="12"/>
      <c r="K27" s="12"/>
      <c r="S27" s="187"/>
      <c r="T27" s="187"/>
      <c r="U27" s="155"/>
      <c r="V27" s="155"/>
    </row>
    <row r="28" spans="2:23" x14ac:dyDescent="0.2">
      <c r="B28" s="19"/>
      <c r="C28" s="20"/>
      <c r="D28" s="20"/>
      <c r="E28" s="20"/>
      <c r="F28" s="20"/>
      <c r="G28" s="20"/>
      <c r="H28" s="20"/>
      <c r="I28" s="12"/>
      <c r="J28" s="12"/>
      <c r="K28" s="12"/>
      <c r="S28" s="187"/>
      <c r="T28" s="187"/>
      <c r="U28" s="155"/>
      <c r="V28" s="155"/>
    </row>
    <row r="29" spans="2:23" x14ac:dyDescent="0.2">
      <c r="B29" s="26"/>
      <c r="C29" s="12" t="s">
        <v>117</v>
      </c>
      <c r="D29" s="25">
        <f>D26/D27</f>
        <v>2.9341425671737784E-2</v>
      </c>
      <c r="E29" s="20"/>
      <c r="F29" s="20"/>
      <c r="G29" s="20"/>
      <c r="H29" s="20"/>
      <c r="I29" s="12"/>
      <c r="J29" s="12"/>
      <c r="K29" s="12"/>
      <c r="S29" s="187"/>
      <c r="T29" s="187"/>
      <c r="U29" s="155"/>
      <c r="V29" s="155"/>
    </row>
    <row r="30" spans="2:23" x14ac:dyDescent="0.2">
      <c r="B30" s="26"/>
      <c r="C30" s="12"/>
      <c r="D30" s="25"/>
      <c r="E30" s="20"/>
      <c r="F30" s="20"/>
      <c r="G30" s="20"/>
      <c r="H30" s="20"/>
      <c r="I30" s="12"/>
      <c r="J30" s="12"/>
      <c r="K30" s="12"/>
      <c r="S30" s="187"/>
      <c r="T30" s="187"/>
      <c r="U30" s="155"/>
      <c r="V30" s="155"/>
    </row>
    <row r="31" spans="2:23" x14ac:dyDescent="0.2">
      <c r="B31" s="10"/>
      <c r="S31" s="187"/>
      <c r="T31" s="187"/>
      <c r="U31" s="155"/>
      <c r="V31" s="155"/>
    </row>
    <row r="32" spans="2:23" x14ac:dyDescent="0.2">
      <c r="B32" s="10"/>
      <c r="S32" s="187"/>
      <c r="T32" s="187"/>
      <c r="U32" s="155"/>
      <c r="V32" s="155"/>
    </row>
    <row r="33" spans="2:22" x14ac:dyDescent="0.2">
      <c r="B33" s="10"/>
      <c r="S33" s="187"/>
      <c r="T33" s="187"/>
      <c r="U33" s="155"/>
      <c r="V33" s="155"/>
    </row>
    <row r="34" spans="2:22" x14ac:dyDescent="0.2">
      <c r="B34" s="21" t="s">
        <v>115</v>
      </c>
      <c r="C34" s="27" t="s">
        <v>340</v>
      </c>
      <c r="D34" s="12"/>
      <c r="E34" s="12"/>
      <c r="F34" s="12"/>
      <c r="G34" s="12"/>
      <c r="H34" s="12"/>
      <c r="I34" s="12"/>
      <c r="J34" s="12"/>
      <c r="K34" s="12"/>
      <c r="S34" s="187"/>
      <c r="T34" s="187"/>
      <c r="U34" s="155"/>
      <c r="V34" s="155"/>
    </row>
    <row r="35" spans="2:22" x14ac:dyDescent="0.2">
      <c r="B35" s="26"/>
      <c r="C35" s="12"/>
      <c r="D35" s="12"/>
      <c r="E35" s="12"/>
      <c r="F35" s="12"/>
      <c r="G35" s="12"/>
      <c r="H35" s="12"/>
      <c r="I35" s="12"/>
      <c r="J35" s="12"/>
      <c r="K35" s="12"/>
      <c r="S35" s="187"/>
      <c r="T35" s="187"/>
    </row>
    <row r="36" spans="2:22" x14ac:dyDescent="0.2">
      <c r="B36" s="26" t="s">
        <v>91</v>
      </c>
      <c r="C36" s="20" t="s">
        <v>117</v>
      </c>
      <c r="D36" s="33" t="s">
        <v>121</v>
      </c>
      <c r="E36" s="33"/>
      <c r="F36" s="33"/>
      <c r="G36" s="12"/>
      <c r="H36" s="12"/>
      <c r="I36" s="12"/>
      <c r="J36" s="12"/>
      <c r="K36" s="12"/>
      <c r="S36" s="187"/>
      <c r="T36" s="187"/>
    </row>
    <row r="37" spans="2:22" x14ac:dyDescent="0.2">
      <c r="B37" s="26"/>
      <c r="C37" s="20"/>
      <c r="D37" s="12" t="s">
        <v>119</v>
      </c>
      <c r="E37" s="12"/>
      <c r="F37" s="12"/>
      <c r="G37" s="12"/>
      <c r="H37" s="12"/>
      <c r="I37" s="12"/>
      <c r="J37" s="12"/>
      <c r="K37" s="12"/>
      <c r="S37" s="187"/>
      <c r="T37" s="187"/>
    </row>
    <row r="38" spans="2:22" x14ac:dyDescent="0.2">
      <c r="B38" s="26"/>
      <c r="C38" s="12"/>
      <c r="D38" s="12"/>
      <c r="E38" s="12"/>
      <c r="F38" s="12"/>
      <c r="G38" s="12"/>
      <c r="H38" s="12"/>
      <c r="I38" s="12"/>
      <c r="J38" s="12"/>
      <c r="K38" s="12"/>
      <c r="S38" s="187"/>
      <c r="T38" s="187"/>
    </row>
    <row r="39" spans="2:22" x14ac:dyDescent="0.2">
      <c r="B39" s="12"/>
      <c r="C39" s="20" t="s">
        <v>117</v>
      </c>
      <c r="D39" s="23"/>
      <c r="E39" s="23" t="str">
        <f>_xlfn.CONCAT(TEXT($G$14,"0,0"), " - ",TEXT($G$13,"0,0"), " - ",TEXT($Q$14,"0,0"))</f>
        <v>337038000,0 - 314956200,0 - 29055000,0</v>
      </c>
      <c r="F39" s="23"/>
      <c r="G39" s="23"/>
      <c r="H39" s="20"/>
      <c r="I39" s="12"/>
      <c r="J39" s="12"/>
      <c r="K39" s="12"/>
    </row>
    <row r="40" spans="2:22" x14ac:dyDescent="0.2">
      <c r="B40" s="26"/>
      <c r="C40" s="20"/>
      <c r="D40" s="20" t="str">
        <f>_xlfn.CONCAT(TEXT($G$13,"0,0")," + (",TEXT($Q$14,"0,0")," * ","(365 - ",TEXT($N$14,"0,0"),") / 365)"," - (",TEXT($Q$13,"0,0")," * (365 - ",TEXT($N$13,"0,0"),") / 365)"," - (",TEXT($Q$15,"0,0")," * (365 - ",TEXT($N$15,"0,0"),") / 365)")</f>
        <v>314956200,0 + (29055000,0 * (365 - 265,0) / 365) - (8135400,0 * (365 - 147,0) / 365) - (8135400,0 * (365 - 312,0) / 365)</v>
      </c>
      <c r="E40" s="20"/>
      <c r="F40" s="20"/>
      <c r="G40" s="20"/>
      <c r="H40" s="20"/>
      <c r="I40" s="12"/>
      <c r="J40" s="12"/>
      <c r="K40" s="12"/>
    </row>
    <row r="41" spans="2:22" x14ac:dyDescent="0.2">
      <c r="B41" s="26"/>
      <c r="C41" s="20"/>
      <c r="D41" s="20"/>
      <c r="E41" s="20"/>
      <c r="F41" s="20"/>
      <c r="G41" s="20"/>
      <c r="H41" s="20"/>
      <c r="I41" s="12"/>
      <c r="J41" s="12"/>
      <c r="K41" s="12"/>
    </row>
    <row r="42" spans="2:22" x14ac:dyDescent="0.2">
      <c r="B42" s="26"/>
      <c r="C42" s="20" t="s">
        <v>117</v>
      </c>
      <c r="D42" s="104">
        <f>$G$14 - $G$13 - $Q$14</f>
        <v>-6973199.9999999963</v>
      </c>
      <c r="E42" s="20"/>
      <c r="F42" s="20"/>
      <c r="G42" s="20"/>
      <c r="H42" s="20"/>
      <c r="I42" s="12"/>
      <c r="J42" s="12"/>
      <c r="K42" s="12"/>
    </row>
    <row r="43" spans="2:22" x14ac:dyDescent="0.2">
      <c r="B43" s="26"/>
      <c r="C43" s="20"/>
      <c r="D43" s="99">
        <f>$G$13+($Q$14*(365-$N$14)/365)-($Q$13*(365-$N$13)/365)-($Q$15*(365-$N$15)/365)</f>
        <v>316876218.08219177</v>
      </c>
      <c r="E43" s="20"/>
      <c r="F43" s="20"/>
      <c r="G43" s="20"/>
      <c r="H43" s="20"/>
      <c r="I43" s="12"/>
      <c r="J43" s="12"/>
      <c r="K43" s="12"/>
    </row>
    <row r="44" spans="2:22" x14ac:dyDescent="0.2">
      <c r="B44" s="26"/>
      <c r="C44" s="20"/>
      <c r="D44" s="20"/>
      <c r="E44" s="20"/>
      <c r="F44" s="20"/>
      <c r="G44" s="20"/>
      <c r="H44" s="20"/>
      <c r="I44" s="12"/>
      <c r="J44" s="12"/>
      <c r="K44" s="12"/>
    </row>
    <row r="45" spans="2:22" x14ac:dyDescent="0.2">
      <c r="B45" s="26"/>
      <c r="C45" s="12" t="s">
        <v>117</v>
      </c>
      <c r="D45" s="25">
        <f>D42/D43</f>
        <v>-2.2006069253803322E-2</v>
      </c>
      <c r="E45" s="20"/>
      <c r="F45" s="20"/>
      <c r="G45" s="20"/>
      <c r="H45" s="20"/>
      <c r="I45" s="12"/>
      <c r="J45" s="12"/>
      <c r="K45" s="12"/>
    </row>
    <row r="46" spans="2:22" x14ac:dyDescent="0.2">
      <c r="B46" s="26"/>
      <c r="C46" s="12"/>
      <c r="D46" s="25"/>
      <c r="E46" s="20"/>
      <c r="F46" s="20"/>
      <c r="G46" s="20"/>
      <c r="H46" s="20"/>
      <c r="I46" s="12"/>
      <c r="J46" s="12"/>
      <c r="K46" s="12"/>
    </row>
    <row r="47" spans="2:22" x14ac:dyDescent="0.2">
      <c r="B47" s="10"/>
    </row>
    <row r="48" spans="2:22" x14ac:dyDescent="0.2">
      <c r="B48" s="10"/>
    </row>
    <row r="49" spans="2:11" x14ac:dyDescent="0.2">
      <c r="B49" s="10"/>
    </row>
    <row r="50" spans="2:11" x14ac:dyDescent="0.2">
      <c r="B50" s="21" t="s">
        <v>115</v>
      </c>
      <c r="C50" s="27" t="s">
        <v>341</v>
      </c>
      <c r="D50" s="12"/>
      <c r="E50" s="12"/>
      <c r="F50" s="12"/>
      <c r="G50" s="12"/>
      <c r="H50" s="12"/>
      <c r="I50" s="12"/>
      <c r="J50" s="12"/>
      <c r="K50" s="12"/>
    </row>
    <row r="51" spans="2:11" x14ac:dyDescent="0.2">
      <c r="B51" s="26"/>
      <c r="C51" s="12"/>
      <c r="D51" s="12"/>
      <c r="E51" s="12"/>
      <c r="F51" s="12"/>
      <c r="G51" s="12"/>
      <c r="H51" s="12"/>
      <c r="I51" s="12"/>
      <c r="J51" s="12"/>
      <c r="K51" s="12"/>
    </row>
    <row r="52" spans="2:11" x14ac:dyDescent="0.2">
      <c r="B52" s="26" t="s">
        <v>95</v>
      </c>
      <c r="C52" s="20" t="s">
        <v>117</v>
      </c>
      <c r="D52" s="34" t="s">
        <v>123</v>
      </c>
      <c r="E52" s="33"/>
      <c r="F52" s="33"/>
      <c r="G52" s="12"/>
      <c r="H52" s="12"/>
      <c r="I52" s="12"/>
      <c r="J52" s="12"/>
      <c r="K52" s="12"/>
    </row>
    <row r="53" spans="2:11" x14ac:dyDescent="0.2">
      <c r="B53" s="26"/>
      <c r="C53" s="20"/>
      <c r="D53" s="12" t="s">
        <v>119</v>
      </c>
      <c r="E53" s="12"/>
      <c r="F53" s="12"/>
      <c r="G53" s="12"/>
      <c r="H53" s="12"/>
      <c r="I53" s="12"/>
      <c r="J53" s="12"/>
      <c r="K53" s="12"/>
    </row>
    <row r="54" spans="2:11" x14ac:dyDescent="0.2">
      <c r="B54" s="26"/>
      <c r="C54" s="12"/>
      <c r="D54" s="12"/>
      <c r="E54" s="12"/>
      <c r="F54" s="12"/>
      <c r="G54" s="12"/>
      <c r="H54" s="12"/>
      <c r="I54" s="12"/>
      <c r="J54" s="12"/>
      <c r="K54" s="12"/>
    </row>
    <row r="55" spans="2:11" x14ac:dyDescent="0.2">
      <c r="B55" s="26"/>
      <c r="C55" s="20" t="s">
        <v>117</v>
      </c>
      <c r="D55" s="23"/>
      <c r="E55" s="23" t="str">
        <f>_xlfn.CONCAT(,TEXT($Q$13,"0,0")," + ",TEXT($Q$15,"0,0"))</f>
        <v>8135400,0 + 8135400,0</v>
      </c>
      <c r="F55" s="23"/>
      <c r="G55" s="23"/>
      <c r="H55" s="12"/>
      <c r="I55" s="12"/>
      <c r="J55" s="12"/>
      <c r="K55" s="12"/>
    </row>
    <row r="56" spans="2:11" x14ac:dyDescent="0.2">
      <c r="B56" s="26"/>
      <c r="C56" s="20"/>
      <c r="D56" s="20" t="str">
        <f>_xlfn.CONCAT(TEXT($G$13,"0,0")," + (",TEXT($Q$14,"0,0")," * ","(365 - ",TEXT($N$14,"0,0"),") / 365)"," - (",TEXT($Q$13,"0,0")," * (365 - ",TEXT($N$13,"0,0"),") / 365)"," - (",TEXT($Q$15,"0,0")," * (365 - ",TEXT($N$15,"0,0"),") / 365)")</f>
        <v>314956200,0 + (29055000,0 * (365 - 265,0) / 365) - (8135400,0 * (365 - 147,0) / 365) - (8135400,0 * (365 - 312,0) / 365)</v>
      </c>
      <c r="E56" s="20"/>
      <c r="F56" s="20"/>
      <c r="G56" s="20"/>
      <c r="H56" s="12"/>
      <c r="I56" s="12"/>
      <c r="J56" s="12"/>
      <c r="K56" s="12"/>
    </row>
    <row r="57" spans="2:11" x14ac:dyDescent="0.2">
      <c r="B57" s="26"/>
      <c r="C57" s="20"/>
      <c r="D57" s="20"/>
      <c r="E57" s="20"/>
      <c r="F57" s="20"/>
      <c r="G57" s="20"/>
      <c r="H57" s="12"/>
      <c r="I57" s="12"/>
      <c r="J57" s="12"/>
      <c r="K57" s="12"/>
    </row>
    <row r="58" spans="2:11" x14ac:dyDescent="0.2">
      <c r="B58" s="26"/>
      <c r="C58" s="20" t="s">
        <v>117</v>
      </c>
      <c r="D58" s="104">
        <f>$Q$13 + $Q$15</f>
        <v>16270799.999999998</v>
      </c>
      <c r="E58" s="20"/>
      <c r="F58" s="20"/>
      <c r="G58" s="12"/>
      <c r="H58" s="12"/>
      <c r="I58" s="12"/>
      <c r="J58" s="12"/>
      <c r="K58" s="12"/>
    </row>
    <row r="59" spans="2:11" x14ac:dyDescent="0.2">
      <c r="B59" s="26"/>
      <c r="C59" s="20"/>
      <c r="D59" s="99">
        <f>$G$13+($Q$14*(365-$N$14)/365)-($Q$13*(365-$N$13)/365)-($Q$15*(365-$N$15)/365)</f>
        <v>316876218.08219177</v>
      </c>
      <c r="E59" s="20"/>
      <c r="F59" s="20"/>
      <c r="G59" s="12"/>
      <c r="H59" s="12"/>
      <c r="I59" s="12"/>
      <c r="J59" s="12"/>
      <c r="K59" s="12"/>
    </row>
    <row r="60" spans="2:11" x14ac:dyDescent="0.2">
      <c r="B60" s="12"/>
      <c r="C60" s="20"/>
      <c r="D60" s="20"/>
      <c r="E60" s="20"/>
      <c r="F60" s="20"/>
      <c r="G60" s="12"/>
      <c r="H60" s="12"/>
      <c r="I60" s="12"/>
      <c r="J60" s="12"/>
      <c r="K60" s="12"/>
    </row>
    <row r="61" spans="2:11" x14ac:dyDescent="0.2">
      <c r="B61" s="12"/>
      <c r="C61" s="12" t="s">
        <v>117</v>
      </c>
      <c r="D61" s="25">
        <f>D58/D59</f>
        <v>5.1347494925541103E-2</v>
      </c>
      <c r="E61" s="20"/>
      <c r="F61" s="20"/>
      <c r="G61" s="12"/>
      <c r="H61" s="12"/>
      <c r="I61" s="12"/>
      <c r="J61" s="12"/>
      <c r="K61" s="12"/>
    </row>
    <row r="62" spans="2:11" x14ac:dyDescent="0.2">
      <c r="B62" s="12"/>
      <c r="C62" s="12"/>
      <c r="D62" s="25"/>
      <c r="E62" s="20"/>
      <c r="F62" s="20"/>
      <c r="G62" s="12"/>
      <c r="H62" s="12"/>
      <c r="I62" s="12"/>
      <c r="J62" s="12"/>
      <c r="K62" s="12"/>
    </row>
  </sheetData>
  <mergeCells count="4">
    <mergeCell ref="J1:N1"/>
    <mergeCell ref="V22:W24"/>
    <mergeCell ref="S25:T38"/>
    <mergeCell ref="F4:S7"/>
  </mergeCells>
  <hyperlinks>
    <hyperlink ref="J1:N1" location="'Table of Contents'!A1" display="Back to Table of Contents" xr:uid="{D6BFA47E-9268-40E2-A558-FA18F7C7277F}"/>
    <hyperlink ref="V22:W24" r:id="rId1" location="inrev-guidelines" display="For more information about Performance Measurement visit the INREV Guidelines on Performance Measurement." xr:uid="{23781C6B-48DF-497D-9AEF-6E13CE529927}"/>
  </hyperlinks>
  <pageMargins left="0.7" right="0.7" top="0.75" bottom="0.75" header="0.3" footer="0.3"/>
  <pageSetup paperSize="9" orientation="portrait" verticalDpi="0"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sheetPr>
  <dimension ref="A1:K34"/>
  <sheetViews>
    <sheetView showGridLines="0" zoomScaleNormal="100" zoomScalePageLayoutView="90" workbookViewId="0"/>
  </sheetViews>
  <sheetFormatPr defaultColWidth="8.7109375" defaultRowHeight="12.75" x14ac:dyDescent="0.2"/>
  <cols>
    <col min="1" max="1" width="7.28515625" customWidth="1"/>
    <col min="2" max="2" width="14.28515625" customWidth="1"/>
    <col min="3" max="3" width="16.7109375" customWidth="1"/>
    <col min="4" max="4" width="11.28515625" customWidth="1"/>
    <col min="5" max="5" width="18.42578125" customWidth="1"/>
  </cols>
  <sheetData>
    <row r="1" spans="1:11" s="2" customFormat="1" ht="34.9" customHeight="1" x14ac:dyDescent="0.35">
      <c r="A1" s="96"/>
      <c r="B1" s="96" t="s">
        <v>342</v>
      </c>
      <c r="C1" s="96"/>
      <c r="D1" s="96"/>
      <c r="E1" s="96"/>
      <c r="F1" s="96"/>
      <c r="G1" s="96"/>
      <c r="H1" s="96"/>
      <c r="I1" s="96"/>
      <c r="J1" s="96"/>
      <c r="K1" s="96"/>
    </row>
    <row r="2" spans="1:11" x14ac:dyDescent="0.2">
      <c r="A2" s="97"/>
      <c r="B2" s="97"/>
      <c r="C2" s="97"/>
      <c r="D2" s="97"/>
      <c r="E2" s="97"/>
      <c r="F2" s="97"/>
      <c r="G2" s="97"/>
      <c r="H2" s="97"/>
      <c r="I2" s="97"/>
      <c r="J2" s="97"/>
      <c r="K2" s="97"/>
    </row>
    <row r="3" spans="1:11" x14ac:dyDescent="0.2">
      <c r="A3" s="97"/>
      <c r="B3" s="97"/>
      <c r="C3" s="97"/>
      <c r="D3" s="97"/>
      <c r="E3" s="97"/>
      <c r="F3" s="97"/>
      <c r="G3" s="97"/>
      <c r="H3" s="97"/>
      <c r="I3" s="97"/>
      <c r="J3" s="97"/>
      <c r="K3" s="97"/>
    </row>
    <row r="4" spans="1:11" x14ac:dyDescent="0.2">
      <c r="A4" s="97"/>
      <c r="B4" s="97"/>
      <c r="C4" s="97"/>
      <c r="D4" s="97"/>
      <c r="E4" s="97"/>
      <c r="F4" s="97"/>
      <c r="G4" s="97"/>
      <c r="H4" s="97"/>
      <c r="I4" s="97"/>
      <c r="J4" s="97"/>
      <c r="K4" s="97"/>
    </row>
    <row r="5" spans="1:11" ht="15" x14ac:dyDescent="0.25">
      <c r="A5" s="97"/>
      <c r="B5" s="98" t="s">
        <v>343</v>
      </c>
      <c r="C5" s="97"/>
      <c r="D5" s="97"/>
      <c r="E5" s="97"/>
      <c r="F5" s="97"/>
      <c r="G5" s="97"/>
      <c r="H5" s="97"/>
      <c r="I5" s="97"/>
      <c r="J5" s="97"/>
      <c r="K5" s="97"/>
    </row>
    <row r="6" spans="1:11" ht="12.75" customHeight="1" x14ac:dyDescent="0.2">
      <c r="A6" s="97"/>
      <c r="B6" s="97" t="s">
        <v>344</v>
      </c>
      <c r="C6" s="97"/>
      <c r="D6" s="97"/>
      <c r="E6" s="97"/>
      <c r="F6" s="97"/>
      <c r="G6" s="97"/>
      <c r="H6" s="97"/>
      <c r="I6" s="97"/>
      <c r="J6" s="97"/>
      <c r="K6" s="97"/>
    </row>
    <row r="7" spans="1:11" x14ac:dyDescent="0.2">
      <c r="A7" s="97"/>
      <c r="B7" s="97" t="s">
        <v>345</v>
      </c>
      <c r="C7" s="97"/>
      <c r="D7" s="97"/>
      <c r="E7" s="97"/>
      <c r="F7" s="97"/>
      <c r="G7" s="97"/>
      <c r="H7" s="97"/>
      <c r="I7" s="97"/>
      <c r="J7" s="97"/>
      <c r="K7" s="97"/>
    </row>
    <row r="8" spans="1:11" x14ac:dyDescent="0.2">
      <c r="A8" s="97"/>
      <c r="B8" s="97" t="s">
        <v>346</v>
      </c>
      <c r="C8" s="97"/>
      <c r="D8" s="97"/>
      <c r="E8" s="97"/>
      <c r="F8" s="97"/>
      <c r="G8" s="97"/>
      <c r="H8" s="97"/>
      <c r="I8" s="97"/>
      <c r="J8" s="97"/>
      <c r="K8" s="97"/>
    </row>
    <row r="9" spans="1:11" x14ac:dyDescent="0.2">
      <c r="A9" s="97"/>
      <c r="B9" s="97"/>
      <c r="C9" s="97"/>
      <c r="D9" s="97"/>
      <c r="E9" s="97"/>
      <c r="F9" s="97"/>
      <c r="G9" s="97"/>
      <c r="H9" s="97"/>
      <c r="I9" s="97"/>
      <c r="J9" s="97"/>
      <c r="K9" s="97"/>
    </row>
    <row r="10" spans="1:11" x14ac:dyDescent="0.2">
      <c r="A10" s="97"/>
      <c r="B10" s="97"/>
      <c r="C10" s="97"/>
      <c r="D10" s="97"/>
      <c r="E10" s="97"/>
      <c r="F10" s="97"/>
      <c r="G10" s="97"/>
      <c r="H10" s="97"/>
      <c r="I10" s="97"/>
      <c r="J10" s="97"/>
      <c r="K10" s="97"/>
    </row>
    <row r="11" spans="1:11" x14ac:dyDescent="0.2">
      <c r="A11" s="97"/>
      <c r="B11" s="97"/>
      <c r="C11" s="97"/>
      <c r="D11" s="97"/>
      <c r="E11" s="97"/>
      <c r="F11" s="97"/>
      <c r="G11" s="97"/>
      <c r="H11" s="97"/>
      <c r="I11" s="97"/>
      <c r="J11" s="97"/>
      <c r="K11" s="97"/>
    </row>
    <row r="12" spans="1:11" ht="15" x14ac:dyDescent="0.25">
      <c r="A12" s="97"/>
      <c r="B12" s="98" t="s">
        <v>347</v>
      </c>
      <c r="C12" s="97"/>
      <c r="D12" s="97"/>
      <c r="E12" s="97"/>
      <c r="F12" s="97"/>
      <c r="G12" s="97"/>
      <c r="H12" s="97"/>
      <c r="I12" s="97"/>
      <c r="J12" s="97"/>
      <c r="K12" s="97"/>
    </row>
    <row r="13" spans="1:11" x14ac:dyDescent="0.2">
      <c r="A13" s="97"/>
      <c r="B13" s="97" t="s">
        <v>348</v>
      </c>
      <c r="C13" s="97"/>
      <c r="D13" s="97"/>
      <c r="E13" s="97"/>
      <c r="F13" s="97"/>
      <c r="G13" s="97"/>
      <c r="H13" s="97"/>
      <c r="I13" s="97"/>
      <c r="J13" s="97"/>
      <c r="K13" s="97"/>
    </row>
    <row r="14" spans="1:11" x14ac:dyDescent="0.2">
      <c r="A14" s="97"/>
      <c r="B14" s="97" t="s">
        <v>349</v>
      </c>
      <c r="C14" s="97"/>
      <c r="D14" s="97"/>
      <c r="E14" s="97"/>
      <c r="F14" s="97"/>
      <c r="G14" s="97"/>
      <c r="H14" s="97"/>
      <c r="I14" s="97"/>
      <c r="J14" s="97"/>
      <c r="K14" s="97"/>
    </row>
    <row r="15" spans="1:11" x14ac:dyDescent="0.2">
      <c r="A15" s="97"/>
      <c r="B15" s="97" t="s">
        <v>350</v>
      </c>
      <c r="C15" s="97"/>
      <c r="D15" s="97"/>
      <c r="E15" s="97"/>
      <c r="F15" s="97"/>
      <c r="G15" s="97"/>
      <c r="H15" s="97"/>
      <c r="I15" s="97"/>
      <c r="J15" s="97"/>
      <c r="K15" s="97"/>
    </row>
    <row r="16" spans="1:11" x14ac:dyDescent="0.2">
      <c r="A16" s="97"/>
      <c r="B16" s="97" t="s">
        <v>351</v>
      </c>
      <c r="C16" s="97"/>
      <c r="D16" s="97"/>
      <c r="E16" s="97"/>
      <c r="F16" s="97"/>
      <c r="G16" s="97"/>
      <c r="H16" s="97"/>
      <c r="I16" s="97"/>
      <c r="J16" s="97"/>
      <c r="K16" s="97"/>
    </row>
    <row r="17" spans="1:11" x14ac:dyDescent="0.2">
      <c r="A17" s="97"/>
      <c r="B17" s="97" t="s">
        <v>352</v>
      </c>
      <c r="C17" s="97"/>
      <c r="D17" s="97"/>
      <c r="E17" s="97"/>
      <c r="F17" s="97"/>
      <c r="G17" s="97"/>
      <c r="H17" s="97"/>
      <c r="I17" s="97"/>
      <c r="J17" s="97"/>
      <c r="K17" s="97"/>
    </row>
    <row r="18" spans="1:11" x14ac:dyDescent="0.2">
      <c r="A18" s="97"/>
      <c r="B18" s="97" t="s">
        <v>353</v>
      </c>
      <c r="C18" s="97"/>
      <c r="D18" s="97"/>
      <c r="E18" s="97"/>
      <c r="F18" s="97"/>
      <c r="G18" s="97"/>
      <c r="H18" s="97"/>
      <c r="I18" s="97"/>
      <c r="J18" s="97"/>
      <c r="K18" s="97"/>
    </row>
    <row r="19" spans="1:11" x14ac:dyDescent="0.2">
      <c r="A19" s="97"/>
      <c r="B19" s="97" t="s">
        <v>354</v>
      </c>
      <c r="C19" s="97"/>
      <c r="D19" s="97"/>
      <c r="E19" s="97"/>
      <c r="F19" s="97"/>
      <c r="G19" s="97"/>
      <c r="H19" s="97"/>
      <c r="I19" s="97"/>
      <c r="J19" s="97"/>
      <c r="K19" s="97"/>
    </row>
    <row r="20" spans="1:11" x14ac:dyDescent="0.2">
      <c r="A20" s="97"/>
      <c r="B20" s="97" t="s">
        <v>355</v>
      </c>
      <c r="C20" s="97"/>
      <c r="D20" s="97"/>
      <c r="E20" s="97"/>
      <c r="F20" s="97"/>
      <c r="G20" s="97"/>
      <c r="H20" s="97"/>
      <c r="I20" s="97"/>
      <c r="J20" s="97"/>
      <c r="K20" s="97"/>
    </row>
    <row r="21" spans="1:11" x14ac:dyDescent="0.2">
      <c r="A21" s="97"/>
      <c r="B21" s="97"/>
      <c r="C21" s="97"/>
      <c r="D21" s="97"/>
      <c r="E21" s="97"/>
      <c r="F21" s="97"/>
      <c r="G21" s="97"/>
      <c r="H21" s="97"/>
      <c r="I21" s="97"/>
      <c r="J21" s="97"/>
      <c r="K21" s="97"/>
    </row>
    <row r="22" spans="1:11" x14ac:dyDescent="0.2">
      <c r="A22" s="97"/>
      <c r="B22" s="97" t="s">
        <v>356</v>
      </c>
      <c r="C22" s="97"/>
      <c r="D22" s="97"/>
      <c r="E22" s="97"/>
      <c r="F22" s="97"/>
      <c r="G22" s="97"/>
      <c r="H22" s="97"/>
      <c r="I22" s="97"/>
      <c r="J22" s="97"/>
      <c r="K22" s="97"/>
    </row>
    <row r="23" spans="1:11" x14ac:dyDescent="0.2">
      <c r="A23" s="97"/>
      <c r="B23" s="97" t="s">
        <v>357</v>
      </c>
      <c r="C23" s="97"/>
      <c r="D23" s="97"/>
      <c r="E23" s="97"/>
      <c r="F23" s="97"/>
      <c r="G23" s="97"/>
      <c r="H23" s="97"/>
      <c r="I23" s="97"/>
      <c r="J23" s="97"/>
      <c r="K23" s="97"/>
    </row>
    <row r="24" spans="1:11" x14ac:dyDescent="0.2">
      <c r="A24" s="97"/>
      <c r="B24" s="97" t="s">
        <v>358</v>
      </c>
      <c r="C24" s="97"/>
      <c r="D24" s="97"/>
      <c r="E24" s="97"/>
      <c r="F24" s="97"/>
      <c r="G24" s="97"/>
      <c r="H24" s="97"/>
      <c r="I24" s="97"/>
      <c r="J24" s="97"/>
      <c r="K24" s="97"/>
    </row>
    <row r="25" spans="1:11" x14ac:dyDescent="0.2">
      <c r="A25" s="97"/>
      <c r="B25" s="97" t="s">
        <v>359</v>
      </c>
      <c r="C25" s="97"/>
      <c r="D25" s="97"/>
      <c r="E25" s="97"/>
      <c r="F25" s="97"/>
      <c r="G25" s="97"/>
      <c r="H25" s="97"/>
      <c r="I25" s="97"/>
      <c r="J25" s="97"/>
      <c r="K25" s="97"/>
    </row>
    <row r="26" spans="1:11" x14ac:dyDescent="0.2">
      <c r="A26" s="97"/>
      <c r="B26" s="97" t="s">
        <v>360</v>
      </c>
      <c r="C26" s="97"/>
      <c r="D26" s="97"/>
      <c r="E26" s="97"/>
      <c r="F26" s="97"/>
      <c r="G26" s="97"/>
      <c r="H26" s="97"/>
      <c r="I26" s="97"/>
      <c r="J26" s="97"/>
      <c r="K26" s="97"/>
    </row>
    <row r="27" spans="1:11" x14ac:dyDescent="0.2">
      <c r="A27" s="97"/>
      <c r="B27" s="97" t="s">
        <v>361</v>
      </c>
      <c r="C27" s="97"/>
      <c r="D27" s="97"/>
      <c r="E27" s="97"/>
      <c r="F27" s="97"/>
      <c r="G27" s="97"/>
      <c r="H27" s="97"/>
      <c r="I27" s="97"/>
      <c r="J27" s="97"/>
      <c r="K27" s="97"/>
    </row>
    <row r="28" spans="1:11" x14ac:dyDescent="0.2">
      <c r="A28" s="97"/>
      <c r="B28" s="97" t="s">
        <v>362</v>
      </c>
      <c r="C28" s="97"/>
      <c r="D28" s="97"/>
      <c r="E28" s="97"/>
      <c r="F28" s="97"/>
      <c r="G28" s="97"/>
      <c r="H28" s="97"/>
      <c r="I28" s="97"/>
      <c r="J28" s="97"/>
      <c r="K28" s="97"/>
    </row>
    <row r="29" spans="1:11" x14ac:dyDescent="0.2">
      <c r="A29" s="97"/>
      <c r="B29" s="97"/>
      <c r="C29" s="97"/>
      <c r="D29" s="97"/>
      <c r="E29" s="97"/>
      <c r="F29" s="97"/>
      <c r="G29" s="97"/>
      <c r="H29" s="97"/>
      <c r="I29" s="97"/>
      <c r="J29" s="97"/>
      <c r="K29" s="97"/>
    </row>
    <row r="30" spans="1:11" x14ac:dyDescent="0.2">
      <c r="A30" s="97"/>
      <c r="B30" s="97"/>
      <c r="C30" s="97"/>
      <c r="D30" s="97"/>
      <c r="E30" s="97"/>
      <c r="F30" s="97"/>
      <c r="G30" s="97"/>
      <c r="H30" s="97"/>
      <c r="I30" s="97"/>
      <c r="J30" s="97"/>
      <c r="K30" s="97"/>
    </row>
    <row r="31" spans="1:11" x14ac:dyDescent="0.2">
      <c r="A31" s="97"/>
      <c r="B31" s="97"/>
      <c r="C31" s="97"/>
      <c r="D31" s="97"/>
      <c r="E31" s="97"/>
      <c r="F31" s="97"/>
      <c r="G31" s="97"/>
      <c r="H31" s="97"/>
      <c r="I31" s="97"/>
      <c r="J31" s="97"/>
      <c r="K31" s="97"/>
    </row>
    <row r="32" spans="1:11" x14ac:dyDescent="0.2">
      <c r="A32" s="97"/>
      <c r="B32" s="97"/>
      <c r="C32" s="97"/>
      <c r="D32" s="97"/>
      <c r="E32" s="97"/>
      <c r="F32" s="97"/>
      <c r="G32" s="97"/>
      <c r="H32" s="97"/>
      <c r="I32" s="97"/>
      <c r="J32" s="97"/>
      <c r="K32" s="97"/>
    </row>
    <row r="33" spans="1:11" x14ac:dyDescent="0.2">
      <c r="A33" s="97"/>
      <c r="B33" s="97"/>
      <c r="C33" s="97"/>
      <c r="D33" s="97"/>
      <c r="E33" s="97"/>
      <c r="F33" s="97"/>
      <c r="G33" s="97"/>
      <c r="H33" s="97"/>
      <c r="I33" s="97"/>
      <c r="J33" s="97"/>
      <c r="K33" s="97"/>
    </row>
    <row r="34" spans="1:11" x14ac:dyDescent="0.2">
      <c r="A34" s="97"/>
      <c r="B34" s="97"/>
      <c r="C34" s="97"/>
      <c r="D34" s="97"/>
      <c r="E34" s="97"/>
      <c r="F34" s="97"/>
      <c r="G34" s="97"/>
      <c r="H34" s="97"/>
      <c r="I34" s="97"/>
      <c r="J34" s="97"/>
      <c r="K34" s="97"/>
    </row>
  </sheetData>
  <hyperlinks>
    <hyperlink ref="B1" location="TableofContents!A1" display="Terms of Use and Disclaimer" xr:uid="{00000000-0004-0000-06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43B7BF9FADC24383D9D34D924723C9" ma:contentTypeVersion="14" ma:contentTypeDescription="Create a new document." ma:contentTypeScope="" ma:versionID="141df414786b5a5e3c726d779df47ced">
  <xsd:schema xmlns:xsd="http://www.w3.org/2001/XMLSchema" xmlns:xs="http://www.w3.org/2001/XMLSchema" xmlns:p="http://schemas.microsoft.com/office/2006/metadata/properties" xmlns:ns2="61f97334-ae98-4ddf-87ee-81edeebb5d8e" xmlns:ns3="3cacb1fb-8034-49eb-92fa-02e9d9e8c610" targetNamespace="http://schemas.microsoft.com/office/2006/metadata/properties" ma:root="true" ma:fieldsID="d233c14aa271583c0434f09cb3a66a23" ns2:_="" ns3:_="">
    <xsd:import namespace="61f97334-ae98-4ddf-87ee-81edeebb5d8e"/>
    <xsd:import namespace="3cacb1fb-8034-49eb-92fa-02e9d9e8c6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_Flow_SignoffStatus"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f97334-ae98-4ddf-87ee-81edeebb5d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Flow_SignoffStatus" ma:index="13" nillable="true" ma:displayName="Sign-off status" ma:internalName="_x0024_Resources_x003a_core_x002c_Signoff_Status_x003b_">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acb1fb-8034-49eb-92fa-02e9d9e8c61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61f97334-ae98-4ddf-87ee-81edeebb5d8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D3EAC0-2135-47DF-B838-E5AE3B497C46}"/>
</file>

<file path=customXml/itemProps2.xml><?xml version="1.0" encoding="utf-8"?>
<ds:datastoreItem xmlns:ds="http://schemas.openxmlformats.org/officeDocument/2006/customXml" ds:itemID="{FD74CAF6-FC30-4D9F-9952-3C1F4625AE9A}">
  <ds:schemaRefs>
    <ds:schemaRef ds:uri="http://www.w3.org/XML/1998/namespace"/>
    <ds:schemaRef ds:uri="http://schemas.microsoft.com/office/2006/metadata/properties"/>
    <ds:schemaRef ds:uri="http://purl.org/dc/terms/"/>
    <ds:schemaRef ds:uri="http://schemas.openxmlformats.org/package/2006/metadata/core-properties"/>
    <ds:schemaRef ds:uri="http://purl.org/dc/dcmitype/"/>
    <ds:schemaRef ds:uri="3cacb1fb-8034-49eb-92fa-02e9d9e8c610"/>
    <ds:schemaRef ds:uri="http://schemas.microsoft.com/office/2006/documentManagement/types"/>
    <ds:schemaRef ds:uri="61f97334-ae98-4ddf-87ee-81edeebb5d8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2133E94A-270F-4BB2-8515-C0E3C7BF7E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Frontpage</vt:lpstr>
      <vt:lpstr>ContactDetails</vt:lpstr>
      <vt:lpstr>Table of Contents</vt:lpstr>
      <vt:lpstr>Single year return 2010</vt:lpstr>
      <vt:lpstr>Single year return 2011</vt:lpstr>
      <vt:lpstr>Single year return 2012</vt:lpstr>
      <vt:lpstr>Multi year index figures</vt:lpstr>
      <vt:lpstr>Multi year two funds</vt:lpstr>
      <vt:lpstr>Multi year index two funds</vt:lpstr>
      <vt:lpstr>Quarterly return 2010</vt:lpstr>
      <vt:lpstr>Quarterly return 2011</vt:lpstr>
      <vt:lpstr>Quarterly return 2012</vt:lpstr>
      <vt:lpstr>Quarterly multi year two funds</vt:lpstr>
      <vt:lpstr>Four quarters rolling return</vt:lpstr>
      <vt:lpstr>Three year annualised return</vt:lpstr>
      <vt:lpstr>Three year compounded return</vt:lpstr>
      <vt:lpstr>Country and sector allocation</vt:lpstr>
      <vt:lpstr>Currency conversion - NAV</vt:lpstr>
      <vt:lpstr>Currency conversion - cashflows</vt:lpstr>
      <vt:lpstr>Currency conversion - returns</vt:lpstr>
      <vt:lpstr>Curr. conv. Multiyear two funds</vt:lpstr>
      <vt:lpstr>Curr. conv. Multiyear Index</vt:lpstr>
      <vt:lpstr>Local currency conversion</vt:lpstr>
      <vt:lpstr>TermsofUse&amp;Disclaimer</vt:lpstr>
      <vt:lpstr>RMITeam</vt:lpstr>
    </vt:vector>
  </TitlesOfParts>
  <Manager/>
  <Company>INREV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Research@inrev.org</dc:creator>
  <cp:keywords/>
  <dc:description/>
  <cp:lastModifiedBy>Connor van Leeuwen</cp:lastModifiedBy>
  <cp:revision/>
  <dcterms:created xsi:type="dcterms:W3CDTF">2014-11-20T09:39:51Z</dcterms:created>
  <dcterms:modified xsi:type="dcterms:W3CDTF">2021-03-22T08:06:48Z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0x010100FB43B7BF9FADC24383D9D34D924723C9</vt:lpwstr>
  </property>
</Properties>
</file>