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https://inrev.sharepoint.com/sites/INREVTeam/Shared Documents/Professional standards/04 INREV Guidelines/2021-2022 Guidelines Review Project/2021 PM module review/Examples/Final Design/"/>
    </mc:Choice>
  </mc:AlternateContent>
  <xr:revisionPtr revIDLastSave="330" documentId="13_ncr:1_{7AC5DFAE-34FA-4970-B268-582C6171433B}" xr6:coauthVersionLast="47" xr6:coauthVersionMax="47" xr10:uidLastSave="{83635A55-211C-4FB8-A81E-1406D0ED3C75}"/>
  <bookViews>
    <workbookView xWindow="28680" yWindow="-195" windowWidth="29040" windowHeight="15840" xr2:uid="{00000000-000D-0000-FFFF-FFFF00000000}"/>
  </bookViews>
  <sheets>
    <sheet name="PM" sheetId="1" r:id="rId1"/>
    <sheet name="IRR calculatio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E4" i="2" l="1"/>
  <c r="N82" i="1" l="1"/>
  <c r="N64" i="1"/>
  <c r="N70" i="1"/>
  <c r="N61" i="1"/>
  <c r="N52" i="1"/>
  <c r="N73" i="1"/>
  <c r="L35" i="1" l="1"/>
  <c r="M35" i="1" s="1"/>
  <c r="L36" i="1"/>
  <c r="M36" i="1" s="1"/>
  <c r="L37" i="1"/>
  <c r="M37" i="1" s="1"/>
  <c r="L38" i="1"/>
  <c r="M38" i="1" s="1"/>
  <c r="L39" i="1"/>
  <c r="L40" i="1"/>
  <c r="L41" i="1"/>
  <c r="M41" i="1" s="1"/>
  <c r="L42" i="1"/>
  <c r="M42" i="1" s="1"/>
  <c r="L43" i="1"/>
  <c r="M43" i="1" s="1"/>
  <c r="E34" i="1"/>
  <c r="G34" i="1" s="1"/>
  <c r="F34" i="1"/>
  <c r="E35" i="1"/>
  <c r="G35" i="1" s="1"/>
  <c r="F35" i="1"/>
  <c r="E36" i="1"/>
  <c r="G36" i="1" s="1"/>
  <c r="F36" i="1"/>
  <c r="E37" i="1"/>
  <c r="G37" i="1" s="1"/>
  <c r="F37" i="1"/>
  <c r="E38" i="1"/>
  <c r="G38" i="1" s="1"/>
  <c r="F38" i="1"/>
  <c r="E39" i="1"/>
  <c r="G39" i="1" s="1"/>
  <c r="F39" i="1"/>
  <c r="E40" i="1"/>
  <c r="G40" i="1" s="1"/>
  <c r="F40" i="1"/>
  <c r="E41" i="1"/>
  <c r="G41" i="1" s="1"/>
  <c r="F41" i="1"/>
  <c r="E42" i="1"/>
  <c r="G42" i="1" s="1"/>
  <c r="F42" i="1"/>
  <c r="E43" i="1"/>
  <c r="G43" i="1" s="1"/>
  <c r="F43" i="1"/>
  <c r="I36" i="1" l="1"/>
  <c r="J36" i="1" s="1"/>
  <c r="I40" i="1"/>
  <c r="J40" i="1" s="1"/>
  <c r="I37" i="1"/>
  <c r="J37" i="1" s="1"/>
  <c r="I41" i="1"/>
  <c r="J41" i="1" s="1"/>
  <c r="I38" i="1"/>
  <c r="J38" i="1" s="1"/>
  <c r="I42" i="1"/>
  <c r="J42" i="1" s="1"/>
  <c r="I43" i="1"/>
  <c r="J43" i="1" s="1"/>
  <c r="I39" i="1"/>
  <c r="J39" i="1" s="1"/>
  <c r="I35" i="1"/>
  <c r="J35" i="1" s="1"/>
  <c r="M40" i="1"/>
  <c r="M39" i="1"/>
  <c r="H28" i="1"/>
  <c r="N79" i="1" s="1"/>
  <c r="H23" i="1"/>
  <c r="J23" i="1" s="1"/>
  <c r="D66" i="1"/>
  <c r="C52" i="1" l="1"/>
  <c r="J28" i="1"/>
  <c r="D18" i="1"/>
  <c r="G20" i="1"/>
  <c r="C68" i="1"/>
  <c r="C67" i="1"/>
  <c r="C66" i="1"/>
  <c r="D68" i="1"/>
  <c r="D67" i="1"/>
  <c r="E8" i="1"/>
  <c r="O51" i="1" s="1"/>
  <c r="E7" i="1"/>
  <c r="B29" i="2" l="1"/>
  <c r="E19" i="2" s="1"/>
  <c r="C56" i="1"/>
  <c r="J18" i="1"/>
  <c r="I18" i="1" s="1"/>
  <c r="O55" i="1"/>
  <c r="P55" i="1" s="1"/>
  <c r="O56" i="1"/>
  <c r="O52" i="1"/>
  <c r="E67" i="1"/>
  <c r="E66" i="1"/>
  <c r="E68" i="1"/>
  <c r="G22" i="1"/>
  <c r="G27" i="1"/>
  <c r="C55" i="1"/>
  <c r="O53" i="1" l="1"/>
  <c r="P52" i="1"/>
  <c r="H54" i="1"/>
  <c r="H55" i="1" l="1"/>
  <c r="H53" i="1"/>
  <c r="D19" i="1"/>
  <c r="D20" i="1"/>
  <c r="J19" i="1" l="1"/>
  <c r="I19" i="1" s="1"/>
  <c r="E9" i="1" l="1"/>
  <c r="E11" i="1"/>
  <c r="J21" i="1"/>
  <c r="I21" i="1" s="1"/>
  <c r="J24" i="1"/>
  <c r="J25" i="1"/>
  <c r="I25" i="1" s="1"/>
  <c r="N62" i="1" s="1"/>
  <c r="N60" i="1" s="1"/>
  <c r="D26" i="1"/>
  <c r="J26" i="1" s="1"/>
  <c r="I26" i="1" s="1"/>
  <c r="N71" i="1" s="1"/>
  <c r="N69" i="1" s="1"/>
  <c r="D22" i="1"/>
  <c r="H51" i="1" l="1"/>
  <c r="H59" i="1" s="1"/>
  <c r="N65" i="1"/>
  <c r="I24" i="1"/>
  <c r="N53" i="1" s="1"/>
  <c r="O60" i="1"/>
  <c r="N74" i="1"/>
  <c r="D56" i="1"/>
  <c r="E56" i="1" s="1"/>
  <c r="D51" i="1"/>
  <c r="D55" i="1"/>
  <c r="E55" i="1" s="1"/>
  <c r="D53" i="1"/>
  <c r="D52" i="1"/>
  <c r="E52" i="1" s="1"/>
  <c r="J22" i="1"/>
  <c r="J20" i="1"/>
  <c r="I20" i="1" l="1"/>
  <c r="O69" i="1"/>
  <c r="I22" i="1"/>
  <c r="O78" i="1"/>
  <c r="O65" i="1"/>
  <c r="P65" i="1" s="1"/>
  <c r="O61" i="1"/>
  <c r="O64" i="1"/>
  <c r="P64" i="1" s="1"/>
  <c r="P60" i="1"/>
  <c r="N51" i="1"/>
  <c r="P53" i="1"/>
  <c r="H57" i="1"/>
  <c r="H58" i="1"/>
  <c r="H60" i="1"/>
  <c r="J27" i="1"/>
  <c r="I27" i="1" s="1"/>
  <c r="N80" i="1" s="1"/>
  <c r="N78" i="1" l="1"/>
  <c r="O74" i="1"/>
  <c r="P74" i="1" s="1"/>
  <c r="O73" i="1"/>
  <c r="P73" i="1" s="1"/>
  <c r="O70" i="1"/>
  <c r="P69" i="1"/>
  <c r="P61" i="1"/>
  <c r="O62" i="1"/>
  <c r="P62" i="1" s="1"/>
  <c r="N56" i="1"/>
  <c r="P56" i="1" s="1"/>
  <c r="P51" i="1"/>
  <c r="C53" i="1"/>
  <c r="C51" i="1" s="1"/>
  <c r="E51" i="1" s="1"/>
  <c r="O82" i="1" l="1"/>
  <c r="P82" i="1" s="1"/>
  <c r="P91" i="1" s="1"/>
  <c r="O79" i="1"/>
  <c r="O71" i="1"/>
  <c r="P71" i="1" s="1"/>
  <c r="P70" i="1"/>
  <c r="E53" i="1"/>
  <c r="N83" i="1"/>
  <c r="P78" i="1"/>
  <c r="P87" i="1" s="1"/>
  <c r="P79" i="1" l="1"/>
  <c r="P88" i="1" s="1"/>
  <c r="O80" i="1"/>
  <c r="O83" i="1" l="1"/>
  <c r="P83" i="1" s="1"/>
  <c r="P92" i="1" s="1"/>
  <c r="P80" i="1"/>
  <c r="P89" i="1" s="1"/>
</calcChain>
</file>

<file path=xl/sharedStrings.xml><?xml version="1.0" encoding="utf-8"?>
<sst xmlns="http://schemas.openxmlformats.org/spreadsheetml/2006/main" count="166" uniqueCount="97">
  <si>
    <t>Year</t>
  </si>
  <si>
    <t>Quarter</t>
  </si>
  <si>
    <t xml:space="preserve">NAV </t>
  </si>
  <si>
    <t xml:space="preserve">Value </t>
  </si>
  <si>
    <t>Date</t>
  </si>
  <si>
    <t>Year / Quarter</t>
  </si>
  <si>
    <t>Initial capital call</t>
  </si>
  <si>
    <t>Capital call 1</t>
  </si>
  <si>
    <t>Capital call 2</t>
  </si>
  <si>
    <t>Capital call 3</t>
  </si>
  <si>
    <t>Capital call 4</t>
  </si>
  <si>
    <t>Capital call 5</t>
  </si>
  <si>
    <t>Distribution 1</t>
  </si>
  <si>
    <t>Distribution 2</t>
  </si>
  <si>
    <t>Distribution 3</t>
  </si>
  <si>
    <t>Distribution 4</t>
  </si>
  <si>
    <t>Capital contributions from investors</t>
  </si>
  <si>
    <t>Capital redemption to investors</t>
  </si>
  <si>
    <t>Distributions to investors</t>
  </si>
  <si>
    <t>Summary of cash flows between the vehicle and the investors</t>
  </si>
  <si>
    <t>Day #</t>
  </si>
  <si>
    <t>Calculations</t>
  </si>
  <si>
    <t>Reference date (period end)</t>
  </si>
  <si>
    <t>Summary of financial data</t>
  </si>
  <si>
    <t>Year weight of cash flow</t>
  </si>
  <si>
    <t>Year time weighted value</t>
  </si>
  <si>
    <t>Numerator</t>
  </si>
  <si>
    <t>Result</t>
  </si>
  <si>
    <t>Capital of the vehicle [B]</t>
  </si>
  <si>
    <t>Total return of the vehicle [A+B]</t>
  </si>
  <si>
    <t>SI - IRR</t>
  </si>
  <si>
    <t>PIC</t>
  </si>
  <si>
    <t>Distributions</t>
  </si>
  <si>
    <t>Total value</t>
  </si>
  <si>
    <t>Residual value</t>
  </si>
  <si>
    <t>NAV 31.12.2021</t>
  </si>
  <si>
    <t>NAV 31.12.2020</t>
  </si>
  <si>
    <t>Time weighted 2021 contributions</t>
  </si>
  <si>
    <t>Time weighted 2021 redemptions</t>
  </si>
  <si>
    <t>Time weighted 2021 distributions</t>
  </si>
  <si>
    <t>As of 31/12/2021</t>
  </si>
  <si>
    <t xml:space="preserve">The investors committed to contribute for 400,000,000 to the Vehicle
</t>
  </si>
  <si>
    <t>Management fees</t>
  </si>
  <si>
    <t>DISTRIBUTED INCOME RETURN</t>
  </si>
  <si>
    <t>SI - IRR gross of fees</t>
  </si>
  <si>
    <t>2019 / Q4</t>
  </si>
  <si>
    <t>2020 / Q1</t>
  </si>
  <si>
    <t>2020 / Q2</t>
  </si>
  <si>
    <t>2020 / Q4</t>
  </si>
  <si>
    <t>2021 / Q2</t>
  </si>
  <si>
    <t>2021 / Q3</t>
  </si>
  <si>
    <t>2021 / Q4</t>
  </si>
  <si>
    <t>VEHICLE LEVEL TOTAL RETURN</t>
  </si>
  <si>
    <t>VEHICLE LEVEL INCOME RETURN</t>
  </si>
  <si>
    <t>VEHICLE LEVEL CAPITAL RETURN</t>
  </si>
  <si>
    <t>VEHICLE LEVEL TOTAL RETURN GROSS OF FEES</t>
  </si>
  <si>
    <t>IP FV Q1 2021</t>
  </si>
  <si>
    <t>IP FV Q4 2020</t>
  </si>
  <si>
    <t>Disposal Q1 2021</t>
  </si>
  <si>
    <t>Acquisiiton Q1 2021</t>
  </si>
  <si>
    <t>CAPEX</t>
  </si>
  <si>
    <t>NOI</t>
  </si>
  <si>
    <t>ASSET LEVEL TOTAL RETURN</t>
  </si>
  <si>
    <t>ASSET LEVEL INCOME RETURN</t>
  </si>
  <si>
    <t>ASSET LEVEL CAPITAL RETURN</t>
  </si>
  <si>
    <t>NAV end of period (gross of management fees)</t>
  </si>
  <si>
    <t>Input data</t>
  </si>
  <si>
    <t>Closed ended only</t>
  </si>
  <si>
    <t>Asset level unleveraged returns</t>
  </si>
  <si>
    <t>Opening Period</t>
  </si>
  <si>
    <t>Closing Period</t>
  </si>
  <si>
    <t>Days into Period</t>
  </si>
  <si>
    <t>Days in Period</t>
  </si>
  <si>
    <t>Investment multiple/TVPI</t>
  </si>
  <si>
    <t>Even tough the fund is expected to distribute capital, we illustrate an income to illustrate the distribution yield</t>
  </si>
  <si>
    <t>Note 1</t>
  </si>
  <si>
    <t>Vehicle level returns by yearly weighting</t>
  </si>
  <si>
    <t>Quarter weight of cash flow</t>
  </si>
  <si>
    <t>Quarter time weighted value</t>
  </si>
  <si>
    <t>Vehicle level returns by quarterly weighting</t>
  </si>
  <si>
    <t>Q1/2021</t>
  </si>
  <si>
    <t>Q2/2021</t>
  </si>
  <si>
    <t>Q3/2021</t>
  </si>
  <si>
    <t>Q4/2021</t>
  </si>
  <si>
    <t>2021 based on quarterly weighting return</t>
  </si>
  <si>
    <t>IRR calculations</t>
  </si>
  <si>
    <t>(Closed ended)</t>
  </si>
  <si>
    <t>Denominator</t>
  </si>
  <si>
    <t>Denominator (Note 1)</t>
  </si>
  <si>
    <r>
      <rPr>
        <u/>
        <sz val="9"/>
        <color theme="1"/>
        <rFont val="Open Sans"/>
        <family val="2"/>
        <scheme val="major"/>
      </rPr>
      <t>Note 2:</t>
    </r>
    <r>
      <rPr>
        <sz val="9"/>
        <color theme="1"/>
        <rFont val="Open Sans"/>
        <family val="2"/>
        <scheme val="major"/>
      </rPr>
      <t xml:space="preserve"> NAV at the end of the period ar inclusive of distributions earned but not yet distributed.</t>
    </r>
  </si>
  <si>
    <t>Income of the vehicle gross of management fees [A]</t>
  </si>
  <si>
    <r>
      <rPr>
        <u/>
        <sz val="9"/>
        <color theme="1"/>
        <rFont val="Open Sans"/>
        <family val="2"/>
        <scheme val="major"/>
      </rPr>
      <t>Note 1</t>
    </r>
    <r>
      <rPr>
        <sz val="9"/>
        <color theme="1"/>
        <rFont val="Open Sans"/>
        <family val="2"/>
        <scheme val="major"/>
      </rPr>
      <t>: We assume no weighting of acquisitions/disposals in this example (acquisition/disposal on January 1, 2021)</t>
    </r>
  </si>
  <si>
    <t>INREV Performance Measurement Module - Example</t>
  </si>
  <si>
    <t>PIC (paid-in capital)</t>
  </si>
  <si>
    <t>CC (committed capital)</t>
  </si>
  <si>
    <t>DPI (distributions to paid-in capital multiple)</t>
  </si>
  <si>
    <t>RVPI (residual value to paid-in capital multiple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</si>
</sst>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_ * #,##0_ ;_ * \-#,##0_ ;_ * &quot;-&quot;??_ ;_ @_ "/>
    <numFmt numFmtId="166" formatCode="0.00000000000000%"/>
    <numFmt numFmtId="167" formatCode="_ * #,##0.000_ ;_ * \-#,##0.000_ ;_ * &quot;-&quot;??_ ;_ @_ "/>
    <numFmt numFmtId="168" formatCode="0.0%"/>
  </numFmts>
  <fonts count="2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Arial"/>
      <family val="2"/>
    </font>
    <font>
      <sz val="12"/>
      <color theme="1"/>
      <name val="Open Sans"/>
      <family val="2"/>
    </font>
    <font>
      <b/>
      <sz val="12"/>
      <color theme="0"/>
      <name val="Open Sans"/>
      <family val="2"/>
    </font>
    <font>
      <sz val="9"/>
      <color rgb="FF494B4D"/>
      <name val="Open Sans"/>
      <family val="2"/>
    </font>
    <font>
      <b/>
      <u/>
      <sz val="9"/>
      <color rgb="FF494B4D"/>
      <name val="Open Sans"/>
      <family val="2"/>
    </font>
    <font>
      <b/>
      <sz val="9"/>
      <color rgb="FF494B4D"/>
      <name val="Open Sans"/>
      <family val="2"/>
    </font>
    <font>
      <b/>
      <sz val="12"/>
      <color theme="0"/>
      <name val="Open Sans"/>
      <family val="2"/>
      <scheme val="major"/>
    </font>
    <font>
      <sz val="9"/>
      <color theme="1"/>
      <name val="Open Sans"/>
      <family val="2"/>
      <scheme val="major"/>
    </font>
    <font>
      <b/>
      <sz val="11"/>
      <color theme="4"/>
      <name val="Open Sans"/>
      <family val="2"/>
      <scheme val="major"/>
    </font>
    <font>
      <sz val="9"/>
      <name val="Open Sans"/>
      <family val="2"/>
      <scheme val="major"/>
    </font>
    <font>
      <sz val="9"/>
      <color theme="9" tint="-0.499984740745262"/>
      <name val="Open Sans"/>
      <family val="2"/>
      <scheme val="major"/>
    </font>
    <font>
      <sz val="9"/>
      <color rgb="FFFF0000"/>
      <name val="Open Sans"/>
      <family val="2"/>
      <scheme val="major"/>
    </font>
    <font>
      <sz val="9"/>
      <color rgb="FF000000"/>
      <name val="Open Sans"/>
      <family val="2"/>
      <scheme val="major"/>
    </font>
    <font>
      <b/>
      <u/>
      <sz val="9"/>
      <color theme="1"/>
      <name val="Open Sans"/>
      <family val="2"/>
      <scheme val="major"/>
    </font>
    <font>
      <b/>
      <sz val="9"/>
      <color theme="1"/>
      <name val="Open Sans"/>
      <family val="2"/>
      <scheme val="major"/>
    </font>
    <font>
      <u/>
      <sz val="9"/>
      <color theme="1"/>
      <name val="Open Sans"/>
      <family val="2"/>
      <scheme val="major"/>
    </font>
    <font>
      <b/>
      <sz val="9"/>
      <name val="Open Sans"/>
      <family val="2"/>
      <scheme val="major"/>
    </font>
    <font>
      <b/>
      <sz val="9"/>
      <color theme="1" tint="0.249977111117893"/>
      <name val="Open Sans"/>
      <family val="2"/>
      <scheme val="major"/>
    </font>
    <font>
      <sz val="9"/>
      <color theme="1" tint="0.249977111117893"/>
      <name val="Open Sans"/>
      <family val="2"/>
      <scheme val="major"/>
    </font>
    <font>
      <b/>
      <sz val="10"/>
      <color theme="0"/>
      <name val="Open Sans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94B4D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EFD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7">
    <xf numFmtId="0" fontId="0" fillId="0" borderId="0" xfId="0"/>
    <xf numFmtId="0" fontId="0" fillId="2" borderId="0" xfId="0" applyFill="1"/>
    <xf numFmtId="3" fontId="2" fillId="2" borderId="0" xfId="0" applyNumberFormat="1" applyFont="1" applyFill="1" applyBorder="1" applyAlignment="1">
      <alignment horizontal="right" vertical="center"/>
    </xf>
    <xf numFmtId="14" fontId="2" fillId="2" borderId="0" xfId="0" applyNumberFormat="1" applyFont="1" applyFill="1" applyBorder="1" applyAlignment="1">
      <alignment horizontal="right" vertical="center"/>
    </xf>
    <xf numFmtId="166" fontId="0" fillId="2" borderId="0" xfId="2" applyNumberFormat="1" applyFont="1" applyFill="1"/>
    <xf numFmtId="9" fontId="0" fillId="2" borderId="0" xfId="0" applyNumberFormat="1" applyFill="1"/>
    <xf numFmtId="0" fontId="3" fillId="3" borderId="0" xfId="0" applyFont="1" applyFill="1" applyAlignment="1">
      <alignment horizontal="left" indent="3"/>
    </xf>
    <xf numFmtId="0" fontId="4" fillId="3" borderId="0" xfId="0" applyFont="1" applyFill="1" applyAlignment="1">
      <alignment horizontal="left" vertical="center" indent="1"/>
    </xf>
    <xf numFmtId="0" fontId="5" fillId="4" borderId="1" xfId="0" applyFont="1" applyFill="1" applyBorder="1" applyAlignment="1">
      <alignment horizontal="left" vertical="center" indent="3"/>
    </xf>
    <xf numFmtId="0" fontId="5" fillId="5" borderId="0" xfId="0" applyFont="1" applyFill="1" applyAlignment="1">
      <alignment horizontal="left" vertical="center" indent="3"/>
    </xf>
    <xf numFmtId="0" fontId="6" fillId="5" borderId="0" xfId="0" applyFont="1" applyFill="1" applyAlignment="1">
      <alignment horizontal="left" vertical="center" indent="2"/>
    </xf>
    <xf numFmtId="3" fontId="5" fillId="4" borderId="2" xfId="0" applyNumberFormat="1" applyFont="1" applyFill="1" applyBorder="1" applyAlignment="1">
      <alignment vertical="center"/>
    </xf>
    <xf numFmtId="14" fontId="5" fillId="4" borderId="3" xfId="0" applyNumberFormat="1" applyFont="1" applyFill="1" applyBorder="1" applyAlignment="1">
      <alignment vertical="center"/>
    </xf>
    <xf numFmtId="0" fontId="7" fillId="4" borderId="0" xfId="0" applyFont="1" applyFill="1" applyAlignment="1">
      <alignment horizontal="left" vertical="center" indent="2"/>
    </xf>
    <xf numFmtId="10" fontId="7" fillId="4" borderId="0" xfId="2" applyNumberFormat="1" applyFont="1" applyFill="1" applyAlignment="1">
      <alignment horizontal="left" vertical="center" indent="4"/>
    </xf>
    <xf numFmtId="0" fontId="5" fillId="5" borderId="1" xfId="0" applyFont="1" applyFill="1" applyBorder="1" applyAlignment="1">
      <alignment horizontal="left" vertical="center" indent="3"/>
    </xf>
    <xf numFmtId="3" fontId="5" fillId="5" borderId="4" xfId="0" applyNumberFormat="1" applyFont="1" applyFill="1" applyBorder="1" applyAlignment="1">
      <alignment vertical="center"/>
    </xf>
    <xf numFmtId="14" fontId="5" fillId="5" borderId="5" xfId="0" applyNumberFormat="1" applyFont="1" applyFill="1" applyBorder="1" applyAlignment="1">
      <alignment vertical="center"/>
    </xf>
    <xf numFmtId="0" fontId="5" fillId="5" borderId="0" xfId="0" applyFont="1" applyFill="1" applyAlignment="1">
      <alignment horizontal="left" vertical="center" indent="1"/>
    </xf>
    <xf numFmtId="0" fontId="5" fillId="4" borderId="0" xfId="0" applyFont="1" applyFill="1" applyAlignment="1">
      <alignment horizontal="left" vertical="center" indent="3"/>
    </xf>
    <xf numFmtId="0" fontId="5" fillId="4" borderId="0" xfId="0" applyFont="1" applyFill="1" applyAlignment="1">
      <alignment horizontal="left" vertical="center" indent="1"/>
    </xf>
    <xf numFmtId="3" fontId="5" fillId="5" borderId="6" xfId="0" applyNumberFormat="1" applyFont="1" applyFill="1" applyBorder="1" applyAlignment="1">
      <alignment vertical="center"/>
    </xf>
    <xf numFmtId="14" fontId="5" fillId="5" borderId="7" xfId="0" applyNumberFormat="1" applyFont="1" applyFill="1" applyBorder="1" applyAlignment="1">
      <alignment vertical="center"/>
    </xf>
    <xf numFmtId="3" fontId="5" fillId="4" borderId="6" xfId="0" applyNumberFormat="1" applyFont="1" applyFill="1" applyBorder="1" applyAlignment="1">
      <alignment vertical="center"/>
    </xf>
    <xf numFmtId="14" fontId="5" fillId="4" borderId="7" xfId="0" applyNumberFormat="1" applyFont="1" applyFill="1" applyBorder="1" applyAlignment="1">
      <alignment vertical="center"/>
    </xf>
    <xf numFmtId="14" fontId="5" fillId="5" borderId="6" xfId="0" applyNumberFormat="1" applyFont="1" applyFill="1" applyBorder="1" applyAlignment="1">
      <alignment vertical="center"/>
    </xf>
    <xf numFmtId="0" fontId="5" fillId="5" borderId="8" xfId="0" applyFont="1" applyFill="1" applyBorder="1" applyAlignment="1">
      <alignment horizontal="left" vertical="center" indent="3"/>
    </xf>
    <xf numFmtId="0" fontId="5" fillId="4" borderId="8" xfId="0" applyFont="1" applyFill="1" applyBorder="1" applyAlignment="1">
      <alignment horizontal="left" vertical="center" indent="3"/>
    </xf>
    <xf numFmtId="0" fontId="5" fillId="2" borderId="0" xfId="0" applyFont="1" applyFill="1" applyAlignment="1">
      <alignment horizontal="left" vertical="center" indent="3"/>
    </xf>
    <xf numFmtId="0" fontId="5" fillId="2" borderId="0" xfId="0" applyFont="1" applyFill="1" applyAlignment="1">
      <alignment horizontal="left" vertical="center" indent="1"/>
    </xf>
    <xf numFmtId="3" fontId="5" fillId="5" borderId="9" xfId="0" applyNumberFormat="1" applyFont="1" applyFill="1" applyBorder="1" applyAlignment="1">
      <alignment vertical="center"/>
    </xf>
    <xf numFmtId="14" fontId="5" fillId="5" borderId="10" xfId="0" applyNumberFormat="1" applyFont="1" applyFill="1" applyBorder="1" applyAlignment="1">
      <alignment vertical="center"/>
    </xf>
    <xf numFmtId="0" fontId="7" fillId="5" borderId="0" xfId="0" applyFont="1" applyFill="1" applyAlignment="1">
      <alignment horizontal="left" vertical="center" indent="2"/>
    </xf>
    <xf numFmtId="3" fontId="5" fillId="4" borderId="11" xfId="0" applyNumberFormat="1" applyFont="1" applyFill="1" applyBorder="1" applyAlignment="1">
      <alignment vertical="center"/>
    </xf>
    <xf numFmtId="14" fontId="5" fillId="4" borderId="2" xfId="0" applyNumberFormat="1" applyFont="1" applyFill="1" applyBorder="1" applyAlignment="1">
      <alignment vertical="center"/>
    </xf>
    <xf numFmtId="3" fontId="5" fillId="5" borderId="8" xfId="0" applyNumberFormat="1" applyFont="1" applyFill="1" applyBorder="1" applyAlignment="1">
      <alignment vertical="center"/>
    </xf>
    <xf numFmtId="14" fontId="5" fillId="5" borderId="4" xfId="0" applyNumberFormat="1" applyFont="1" applyFill="1" applyBorder="1" applyAlignment="1">
      <alignment vertical="center"/>
    </xf>
    <xf numFmtId="3" fontId="5" fillId="5" borderId="12" xfId="0" applyNumberFormat="1" applyFont="1" applyFill="1" applyBorder="1" applyAlignment="1">
      <alignment vertical="center"/>
    </xf>
    <xf numFmtId="0" fontId="8" fillId="3" borderId="0" xfId="0" applyFont="1" applyFill="1" applyAlignment="1">
      <alignment horizontal="left" vertical="center" indent="1"/>
    </xf>
    <xf numFmtId="0" fontId="9" fillId="3" borderId="0" xfId="0" applyFont="1" applyFill="1" applyAlignment="1">
      <alignment horizontal="left" vertical="center" indent="3"/>
    </xf>
    <xf numFmtId="0" fontId="10" fillId="0" borderId="0" xfId="0" applyFont="1"/>
    <xf numFmtId="0" fontId="9" fillId="0" borderId="0" xfId="0" applyFont="1"/>
    <xf numFmtId="10" fontId="9" fillId="0" borderId="0" xfId="0" applyNumberFormat="1" applyFont="1"/>
    <xf numFmtId="3" fontId="9" fillId="0" borderId="0" xfId="0" applyNumberFormat="1" applyFont="1"/>
    <xf numFmtId="3" fontId="12" fillId="0" borderId="0" xfId="0" applyNumberFormat="1" applyFont="1"/>
    <xf numFmtId="165" fontId="12" fillId="0" borderId="0" xfId="1" applyNumberFormat="1" applyFont="1"/>
    <xf numFmtId="10" fontId="12" fillId="0" borderId="0" xfId="2" applyNumberFormat="1" applyFont="1"/>
    <xf numFmtId="168" fontId="9" fillId="0" borderId="0" xfId="2" applyNumberFormat="1" applyFont="1"/>
    <xf numFmtId="2" fontId="9" fillId="0" borderId="0" xfId="0" applyNumberFormat="1" applyFont="1"/>
    <xf numFmtId="0" fontId="14" fillId="0" borderId="0" xfId="0" applyFont="1" applyBorder="1" applyAlignment="1">
      <alignment vertical="center"/>
    </xf>
    <xf numFmtId="3" fontId="14" fillId="0" borderId="0" xfId="0" applyNumberFormat="1" applyFont="1" applyBorder="1" applyAlignment="1">
      <alignment vertical="center"/>
    </xf>
    <xf numFmtId="0" fontId="15" fillId="0" borderId="0" xfId="0" applyFont="1"/>
    <xf numFmtId="0" fontId="11" fillId="0" borderId="0" xfId="0" applyFont="1"/>
    <xf numFmtId="0" fontId="12" fillId="0" borderId="0" xfId="0" applyFont="1"/>
    <xf numFmtId="0" fontId="9" fillId="5" borderId="0" xfId="0" applyFont="1" applyFill="1"/>
    <xf numFmtId="0" fontId="9" fillId="4" borderId="0" xfId="0" applyFont="1" applyFill="1"/>
    <xf numFmtId="3" fontId="9" fillId="4" borderId="0" xfId="0" applyNumberFormat="1" applyFont="1" applyFill="1"/>
    <xf numFmtId="3" fontId="12" fillId="5" borderId="0" xfId="0" applyNumberFormat="1" applyFont="1" applyFill="1"/>
    <xf numFmtId="3" fontId="9" fillId="5" borderId="0" xfId="0" applyNumberFormat="1" applyFont="1" applyFill="1"/>
    <xf numFmtId="3" fontId="12" fillId="4" borderId="0" xfId="0" applyNumberFormat="1" applyFont="1" applyFill="1"/>
    <xf numFmtId="0" fontId="16" fillId="5" borderId="0" xfId="0" applyFont="1" applyFill="1"/>
    <xf numFmtId="0" fontId="19" fillId="5" borderId="0" xfId="0" applyFont="1" applyFill="1" applyAlignment="1">
      <alignment vertical="center"/>
    </xf>
    <xf numFmtId="0" fontId="20" fillId="4" borderId="0" xfId="0" applyFont="1" applyFill="1" applyAlignment="1">
      <alignment vertical="center"/>
    </xf>
    <xf numFmtId="0" fontId="20" fillId="5" borderId="0" xfId="0" applyFont="1" applyFill="1" applyAlignment="1">
      <alignment vertical="center"/>
    </xf>
    <xf numFmtId="0" fontId="16" fillId="5" borderId="0" xfId="0" applyFont="1" applyFill="1" applyAlignment="1">
      <alignment vertical="center"/>
    </xf>
    <xf numFmtId="14" fontId="18" fillId="5" borderId="0" xfId="0" applyNumberFormat="1" applyFont="1" applyFill="1" applyAlignment="1">
      <alignment vertical="center"/>
    </xf>
    <xf numFmtId="10" fontId="9" fillId="4" borderId="0" xfId="0" applyNumberFormat="1" applyFont="1" applyFill="1" applyAlignment="1">
      <alignment vertical="center"/>
    </xf>
    <xf numFmtId="0" fontId="9" fillId="4" borderId="0" xfId="0" applyFont="1" applyFill="1" applyAlignment="1">
      <alignment vertical="center"/>
    </xf>
    <xf numFmtId="3" fontId="9" fillId="4" borderId="0" xfId="0" applyNumberFormat="1" applyFont="1" applyFill="1" applyAlignment="1">
      <alignment vertical="center"/>
    </xf>
    <xf numFmtId="0" fontId="9" fillId="5" borderId="0" xfId="0" applyFont="1" applyFill="1" applyAlignment="1">
      <alignment vertical="center"/>
    </xf>
    <xf numFmtId="3" fontId="12" fillId="5" borderId="0" xfId="0" applyNumberFormat="1" applyFont="1" applyFill="1" applyAlignment="1">
      <alignment vertical="center"/>
    </xf>
    <xf numFmtId="0" fontId="13" fillId="4" borderId="0" xfId="0" applyFont="1" applyFill="1" applyAlignment="1">
      <alignment vertical="center"/>
    </xf>
    <xf numFmtId="3" fontId="12" fillId="6" borderId="0" xfId="0" applyNumberFormat="1" applyFont="1" applyFill="1" applyAlignment="1">
      <alignment vertical="center"/>
    </xf>
    <xf numFmtId="3" fontId="20" fillId="6" borderId="0" xfId="0" applyNumberFormat="1" applyFont="1" applyFill="1" applyAlignment="1">
      <alignment vertical="center"/>
    </xf>
    <xf numFmtId="0" fontId="20" fillId="5" borderId="0" xfId="0" applyFont="1" applyFill="1" applyAlignment="1">
      <alignment horizontal="left" vertical="center" indent="2"/>
    </xf>
    <xf numFmtId="0" fontId="20" fillId="4" borderId="0" xfId="0" applyFont="1" applyFill="1" applyAlignment="1">
      <alignment horizontal="left" vertical="center" indent="2"/>
    </xf>
    <xf numFmtId="3" fontId="20" fillId="5" borderId="0" xfId="0" applyNumberFormat="1" applyFont="1" applyFill="1" applyAlignment="1">
      <alignment horizontal="left" vertical="center" indent="2"/>
    </xf>
    <xf numFmtId="0" fontId="19" fillId="5" borderId="0" xfId="0" applyFont="1" applyFill="1" applyAlignment="1">
      <alignment horizontal="left" vertical="center" indent="2"/>
    </xf>
    <xf numFmtId="0" fontId="21" fillId="3" borderId="0" xfId="0" applyFont="1" applyFill="1" applyAlignment="1">
      <alignment horizontal="left" vertical="center" indent="1"/>
    </xf>
    <xf numFmtId="0" fontId="21" fillId="3" borderId="0" xfId="0" applyFont="1" applyFill="1" applyAlignment="1">
      <alignment horizontal="left" vertical="center" wrapText="1" indent="1"/>
    </xf>
    <xf numFmtId="3" fontId="14" fillId="5" borderId="13" xfId="0" applyNumberFormat="1" applyFont="1" applyFill="1" applyBorder="1" applyAlignment="1">
      <alignment vertical="center"/>
    </xf>
    <xf numFmtId="3" fontId="14" fillId="4" borderId="14" xfId="0" applyNumberFormat="1" applyFont="1" applyFill="1" applyBorder="1" applyAlignment="1">
      <alignment vertical="center"/>
    </xf>
    <xf numFmtId="3" fontId="14" fillId="5" borderId="15" xfId="0" applyNumberFormat="1" applyFont="1" applyFill="1" applyBorder="1" applyAlignment="1">
      <alignment vertical="center"/>
    </xf>
    <xf numFmtId="3" fontId="14" fillId="4" borderId="13" xfId="0" applyNumberFormat="1" applyFont="1" applyFill="1" applyBorder="1" applyAlignment="1">
      <alignment vertical="center"/>
    </xf>
    <xf numFmtId="3" fontId="14" fillId="4" borderId="16" xfId="0" applyNumberFormat="1" applyFont="1" applyFill="1" applyBorder="1" applyAlignment="1">
      <alignment vertical="center"/>
    </xf>
    <xf numFmtId="3" fontId="14" fillId="5" borderId="14" xfId="0" applyNumberFormat="1" applyFont="1" applyFill="1" applyBorder="1" applyAlignment="1">
      <alignment vertical="center"/>
    </xf>
    <xf numFmtId="3" fontId="14" fillId="5" borderId="16" xfId="0" applyNumberFormat="1" applyFont="1" applyFill="1" applyBorder="1" applyAlignment="1">
      <alignment vertical="center"/>
    </xf>
    <xf numFmtId="3" fontId="12" fillId="6" borderId="17" xfId="0" applyNumberFormat="1" applyFont="1" applyFill="1" applyBorder="1" applyAlignment="1">
      <alignment vertical="center"/>
    </xf>
    <xf numFmtId="3" fontId="12" fillId="6" borderId="0" xfId="0" applyNumberFormat="1" applyFont="1" applyFill="1" applyBorder="1" applyAlignment="1">
      <alignment vertical="center"/>
    </xf>
    <xf numFmtId="3" fontId="12" fillId="6" borderId="18" xfId="0" applyNumberFormat="1" applyFont="1" applyFill="1" applyBorder="1" applyAlignment="1">
      <alignment vertical="center"/>
    </xf>
    <xf numFmtId="3" fontId="12" fillId="6" borderId="19" xfId="0" applyNumberFormat="1" applyFont="1" applyFill="1" applyBorder="1" applyAlignment="1">
      <alignment vertical="center"/>
    </xf>
    <xf numFmtId="3" fontId="12" fillId="6" borderId="13" xfId="0" applyNumberFormat="1" applyFont="1" applyFill="1" applyBorder="1" applyAlignment="1">
      <alignment vertical="center"/>
    </xf>
    <xf numFmtId="3" fontId="12" fillId="6" borderId="14" xfId="0" applyNumberFormat="1" applyFont="1" applyFill="1" applyBorder="1" applyAlignment="1">
      <alignment vertical="center"/>
    </xf>
    <xf numFmtId="3" fontId="12" fillId="6" borderId="15" xfId="0" applyNumberFormat="1" applyFont="1" applyFill="1" applyBorder="1" applyAlignment="1">
      <alignment vertical="center"/>
    </xf>
    <xf numFmtId="3" fontId="12" fillId="6" borderId="16" xfId="0" applyNumberFormat="1" applyFont="1" applyFill="1" applyBorder="1" applyAlignment="1">
      <alignment vertical="center"/>
    </xf>
    <xf numFmtId="3" fontId="14" fillId="6" borderId="17" xfId="0" applyNumberFormat="1" applyFont="1" applyFill="1" applyBorder="1" applyAlignment="1">
      <alignment vertical="center"/>
    </xf>
    <xf numFmtId="3" fontId="14" fillId="6" borderId="0" xfId="0" applyNumberFormat="1" applyFont="1" applyFill="1" applyBorder="1" applyAlignment="1">
      <alignment vertical="center"/>
    </xf>
    <xf numFmtId="3" fontId="14" fillId="6" borderId="18" xfId="0" applyNumberFormat="1" applyFont="1" applyFill="1" applyBorder="1" applyAlignment="1">
      <alignment vertical="center"/>
    </xf>
    <xf numFmtId="3" fontId="14" fillId="6" borderId="19" xfId="0" applyNumberFormat="1" applyFont="1" applyFill="1" applyBorder="1" applyAlignment="1">
      <alignment vertical="center"/>
    </xf>
    <xf numFmtId="3" fontId="12" fillId="6" borderId="20" xfId="0" applyNumberFormat="1" applyFont="1" applyFill="1" applyBorder="1" applyAlignment="1">
      <alignment vertical="center"/>
    </xf>
    <xf numFmtId="3" fontId="12" fillId="6" borderId="21" xfId="0" applyNumberFormat="1" applyFont="1" applyFill="1" applyBorder="1" applyAlignment="1">
      <alignment vertical="center"/>
    </xf>
    <xf numFmtId="3" fontId="12" fillId="6" borderId="22" xfId="0" applyNumberFormat="1" applyFont="1" applyFill="1" applyBorder="1" applyAlignment="1">
      <alignment vertical="center"/>
    </xf>
    <xf numFmtId="3" fontId="12" fillId="6" borderId="23" xfId="0" applyNumberFormat="1" applyFont="1" applyFill="1" applyBorder="1" applyAlignment="1">
      <alignment vertical="center"/>
    </xf>
    <xf numFmtId="3" fontId="12" fillId="5" borderId="13" xfId="0" applyNumberFormat="1" applyFont="1" applyFill="1" applyBorder="1" applyAlignment="1">
      <alignment vertical="center"/>
    </xf>
    <xf numFmtId="3" fontId="12" fillId="4" borderId="14" xfId="0" applyNumberFormat="1" applyFont="1" applyFill="1" applyBorder="1" applyAlignment="1">
      <alignment vertical="center"/>
    </xf>
    <xf numFmtId="3" fontId="12" fillId="5" borderId="15" xfId="0" applyNumberFormat="1" applyFont="1" applyFill="1" applyBorder="1" applyAlignment="1">
      <alignment vertical="center"/>
    </xf>
    <xf numFmtId="3" fontId="12" fillId="4" borderId="13" xfId="0" applyNumberFormat="1" applyFont="1" applyFill="1" applyBorder="1" applyAlignment="1">
      <alignment vertical="center"/>
    </xf>
    <xf numFmtId="3" fontId="12" fillId="4" borderId="16" xfId="0" applyNumberFormat="1" applyFont="1" applyFill="1" applyBorder="1" applyAlignment="1">
      <alignment vertical="center"/>
    </xf>
    <xf numFmtId="3" fontId="12" fillId="5" borderId="14" xfId="0" applyNumberFormat="1" applyFont="1" applyFill="1" applyBorder="1" applyAlignment="1">
      <alignment vertical="center"/>
    </xf>
    <xf numFmtId="3" fontId="12" fillId="5" borderId="16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horizontal="left" vertical="center" indent="2"/>
    </xf>
    <xf numFmtId="0" fontId="14" fillId="4" borderId="14" xfId="0" applyFont="1" applyFill="1" applyBorder="1" applyAlignment="1">
      <alignment horizontal="left" vertical="center" indent="2"/>
    </xf>
    <xf numFmtId="0" fontId="14" fillId="5" borderId="15" xfId="0" applyFont="1" applyFill="1" applyBorder="1" applyAlignment="1">
      <alignment horizontal="left" vertical="center" indent="2"/>
    </xf>
    <xf numFmtId="0" fontId="14" fillId="4" borderId="13" xfId="0" applyFont="1" applyFill="1" applyBorder="1" applyAlignment="1">
      <alignment horizontal="left" vertical="center" indent="2"/>
    </xf>
    <xf numFmtId="0" fontId="14" fillId="4" borderId="16" xfId="0" applyFont="1" applyFill="1" applyBorder="1" applyAlignment="1">
      <alignment horizontal="left" vertical="center" indent="2"/>
    </xf>
    <xf numFmtId="0" fontId="14" fillId="5" borderId="14" xfId="0" applyFont="1" applyFill="1" applyBorder="1" applyAlignment="1">
      <alignment horizontal="left" vertical="center" indent="2"/>
    </xf>
    <xf numFmtId="0" fontId="14" fillId="5" borderId="16" xfId="0" applyFont="1" applyFill="1" applyBorder="1" applyAlignment="1">
      <alignment horizontal="left" vertical="center" indent="2"/>
    </xf>
    <xf numFmtId="0" fontId="14" fillId="5" borderId="17" xfId="0" applyFont="1" applyFill="1" applyBorder="1" applyAlignment="1">
      <alignment horizontal="left" vertical="center" indent="2"/>
    </xf>
    <xf numFmtId="0" fontId="14" fillId="4" borderId="0" xfId="0" applyFont="1" applyFill="1" applyBorder="1" applyAlignment="1">
      <alignment horizontal="left" vertical="center" indent="2"/>
    </xf>
    <xf numFmtId="0" fontId="14" fillId="5" borderId="18" xfId="0" applyFont="1" applyFill="1" applyBorder="1" applyAlignment="1">
      <alignment horizontal="left" vertical="center" indent="2"/>
    </xf>
    <xf numFmtId="0" fontId="14" fillId="4" borderId="17" xfId="0" applyFont="1" applyFill="1" applyBorder="1" applyAlignment="1">
      <alignment horizontal="left" vertical="center" indent="2"/>
    </xf>
    <xf numFmtId="0" fontId="14" fillId="4" borderId="19" xfId="0" applyFont="1" applyFill="1" applyBorder="1" applyAlignment="1">
      <alignment horizontal="left" vertical="center" indent="2"/>
    </xf>
    <xf numFmtId="0" fontId="14" fillId="5" borderId="0" xfId="0" applyFont="1" applyFill="1" applyBorder="1" applyAlignment="1">
      <alignment horizontal="left" vertical="center" indent="2"/>
    </xf>
    <xf numFmtId="0" fontId="14" fillId="5" borderId="19" xfId="0" applyFont="1" applyFill="1" applyBorder="1" applyAlignment="1">
      <alignment horizontal="left" vertical="center" indent="2"/>
    </xf>
    <xf numFmtId="0" fontId="21" fillId="0" borderId="0" xfId="0" applyFont="1" applyFill="1" applyAlignment="1">
      <alignment horizontal="left" vertical="center" indent="1"/>
    </xf>
    <xf numFmtId="0" fontId="21" fillId="0" borderId="0" xfId="0" applyFont="1" applyFill="1" applyAlignment="1">
      <alignment horizontal="left" vertical="center" wrapText="1" indent="1"/>
    </xf>
    <xf numFmtId="3" fontId="14" fillId="6" borderId="15" xfId="0" applyNumberFormat="1" applyFont="1" applyFill="1" applyBorder="1" applyAlignment="1">
      <alignment horizontal="right" vertical="center"/>
    </xf>
    <xf numFmtId="3" fontId="14" fillId="6" borderId="13" xfId="0" applyNumberFormat="1" applyFont="1" applyFill="1" applyBorder="1" applyAlignment="1">
      <alignment horizontal="right" vertical="center"/>
    </xf>
    <xf numFmtId="3" fontId="14" fillId="6" borderId="14" xfId="0" applyNumberFormat="1" applyFont="1" applyFill="1" applyBorder="1" applyAlignment="1">
      <alignment horizontal="right" vertical="center"/>
    </xf>
    <xf numFmtId="164" fontId="14" fillId="4" borderId="17" xfId="1" applyFont="1" applyFill="1" applyBorder="1" applyAlignment="1">
      <alignment vertical="center"/>
    </xf>
    <xf numFmtId="164" fontId="14" fillId="5" borderId="0" xfId="1" applyFont="1" applyFill="1" applyBorder="1" applyAlignment="1">
      <alignment vertical="center"/>
    </xf>
    <xf numFmtId="0" fontId="14" fillId="4" borderId="13" xfId="0" applyFont="1" applyFill="1" applyBorder="1" applyAlignment="1">
      <alignment horizontal="right" vertical="center" wrapText="1"/>
    </xf>
    <xf numFmtId="0" fontId="14" fillId="5" borderId="14" xfId="0" applyFont="1" applyFill="1" applyBorder="1" applyAlignment="1">
      <alignment horizontal="right" vertical="center" wrapText="1"/>
    </xf>
    <xf numFmtId="0" fontId="14" fillId="4" borderId="13" xfId="0" applyFont="1" applyFill="1" applyBorder="1" applyAlignment="1">
      <alignment horizontal="right" vertical="center"/>
    </xf>
    <xf numFmtId="0" fontId="14" fillId="5" borderId="14" xfId="0" applyFont="1" applyFill="1" applyBorder="1" applyAlignment="1">
      <alignment horizontal="right" vertical="center"/>
    </xf>
    <xf numFmtId="0" fontId="14" fillId="4" borderId="17" xfId="0" applyFont="1" applyFill="1" applyBorder="1" applyAlignment="1">
      <alignment horizontal="right" vertical="center"/>
    </xf>
    <xf numFmtId="0" fontId="14" fillId="5" borderId="0" xfId="0" applyFont="1" applyFill="1" applyBorder="1" applyAlignment="1">
      <alignment horizontal="right" vertical="center"/>
    </xf>
    <xf numFmtId="14" fontId="14" fillId="6" borderId="17" xfId="0" applyNumberFormat="1" applyFont="1" applyFill="1" applyBorder="1" applyAlignment="1">
      <alignment horizontal="right" vertical="center"/>
    </xf>
    <xf numFmtId="14" fontId="14" fillId="6" borderId="0" xfId="0" applyNumberFormat="1" applyFont="1" applyFill="1" applyBorder="1" applyAlignment="1">
      <alignment horizontal="right" vertical="center"/>
    </xf>
    <xf numFmtId="14" fontId="14" fillId="4" borderId="17" xfId="0" applyNumberFormat="1" applyFont="1" applyFill="1" applyBorder="1" applyAlignment="1">
      <alignment horizontal="right" vertical="center"/>
    </xf>
    <xf numFmtId="14" fontId="14" fillId="5" borderId="0" xfId="0" applyNumberFormat="1" applyFont="1" applyFill="1" applyBorder="1" applyAlignment="1">
      <alignment horizontal="right" vertical="center"/>
    </xf>
    <xf numFmtId="14" fontId="14" fillId="5" borderId="15" xfId="0" applyNumberFormat="1" applyFont="1" applyFill="1" applyBorder="1" applyAlignment="1">
      <alignment horizontal="right" vertical="center"/>
    </xf>
    <xf numFmtId="14" fontId="14" fillId="4" borderId="13" xfId="0" applyNumberFormat="1" applyFont="1" applyFill="1" applyBorder="1" applyAlignment="1">
      <alignment horizontal="right" vertical="center"/>
    </xf>
    <xf numFmtId="14" fontId="14" fillId="5" borderId="14" xfId="0" applyNumberFormat="1" applyFont="1" applyFill="1" applyBorder="1" applyAlignment="1">
      <alignment horizontal="right" vertical="center"/>
    </xf>
    <xf numFmtId="14" fontId="14" fillId="6" borderId="15" xfId="0" applyNumberFormat="1" applyFont="1" applyFill="1" applyBorder="1" applyAlignment="1">
      <alignment horizontal="right" vertical="center"/>
    </xf>
    <xf numFmtId="14" fontId="14" fillId="6" borderId="13" xfId="0" applyNumberFormat="1" applyFont="1" applyFill="1" applyBorder="1" applyAlignment="1">
      <alignment horizontal="right" vertical="center"/>
    </xf>
    <xf numFmtId="14" fontId="14" fillId="6" borderId="14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left" vertical="center" wrapText="1" indent="1"/>
    </xf>
    <xf numFmtId="14" fontId="14" fillId="5" borderId="20" xfId="0" applyNumberFormat="1" applyFont="1" applyFill="1" applyBorder="1" applyAlignment="1">
      <alignment horizontal="right" vertical="center"/>
    </xf>
    <xf numFmtId="0" fontId="14" fillId="5" borderId="13" xfId="0" applyFont="1" applyFill="1" applyBorder="1" applyAlignment="1">
      <alignment horizontal="right" vertical="center"/>
    </xf>
    <xf numFmtId="0" fontId="14" fillId="5" borderId="17" xfId="0" applyFont="1" applyFill="1" applyBorder="1" applyAlignment="1">
      <alignment horizontal="right" vertical="center"/>
    </xf>
    <xf numFmtId="3" fontId="14" fillId="5" borderId="17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horizontal="right" vertical="center" wrapText="1"/>
    </xf>
    <xf numFmtId="3" fontId="14" fillId="5" borderId="24" xfId="0" applyNumberFormat="1" applyFont="1" applyFill="1" applyBorder="1" applyAlignment="1">
      <alignment vertical="center"/>
    </xf>
    <xf numFmtId="0" fontId="9" fillId="6" borderId="0" xfId="0" applyFont="1" applyFill="1"/>
    <xf numFmtId="0" fontId="9" fillId="0" borderId="0" xfId="0" applyFont="1" applyAlignment="1">
      <alignment horizontal="left" indent="2"/>
    </xf>
    <xf numFmtId="165" fontId="12" fillId="5" borderId="0" xfId="1" applyNumberFormat="1" applyFont="1" applyFill="1"/>
    <xf numFmtId="10" fontId="12" fillId="5" borderId="0" xfId="2" applyNumberFormat="1" applyFont="1" applyFill="1"/>
    <xf numFmtId="0" fontId="12" fillId="5" borderId="0" xfId="0" applyFont="1" applyFill="1"/>
    <xf numFmtId="167" fontId="9" fillId="5" borderId="0" xfId="1" applyNumberFormat="1" applyFont="1" applyFill="1" applyAlignment="1">
      <alignment horizontal="right"/>
    </xf>
    <xf numFmtId="165" fontId="12" fillId="4" borderId="0" xfId="1" applyNumberFormat="1" applyFont="1" applyFill="1"/>
    <xf numFmtId="10" fontId="12" fillId="4" borderId="0" xfId="2" applyNumberFormat="1" applyFont="1" applyFill="1"/>
    <xf numFmtId="167" fontId="9" fillId="4" borderId="0" xfId="1" applyNumberFormat="1" applyFont="1" applyFill="1" applyAlignment="1">
      <alignment horizontal="right"/>
    </xf>
    <xf numFmtId="0" fontId="9" fillId="4" borderId="0" xfId="0" applyFont="1" applyFill="1" applyAlignment="1">
      <alignment horizontal="left" indent="2"/>
    </xf>
    <xf numFmtId="0" fontId="9" fillId="5" borderId="0" xfId="0" applyFont="1" applyFill="1" applyAlignment="1">
      <alignment horizontal="left" indent="2"/>
    </xf>
    <xf numFmtId="0" fontId="15" fillId="5" borderId="0" xfId="0" applyFont="1" applyFill="1"/>
    <xf numFmtId="0" fontId="16" fillId="4" borderId="0" xfId="0" applyFont="1" applyFill="1"/>
    <xf numFmtId="0" fontId="16" fillId="5" borderId="0" xfId="0" applyFont="1" applyFill="1" applyAlignment="1">
      <alignment horizontal="center" vertical="center"/>
    </xf>
    <xf numFmtId="3" fontId="16" fillId="5" borderId="0" xfId="0" applyNumberFormat="1" applyFont="1" applyFill="1" applyAlignment="1">
      <alignment horizontal="center" vertical="center"/>
    </xf>
    <xf numFmtId="3" fontId="16" fillId="4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165" fontId="12" fillId="5" borderId="0" xfId="1" applyNumberFormat="1" applyFont="1" applyFill="1" applyAlignment="1">
      <alignment vertical="center"/>
    </xf>
    <xf numFmtId="10" fontId="12" fillId="5" borderId="0" xfId="2" applyNumberFormat="1" applyFont="1" applyFill="1" applyAlignment="1">
      <alignment vertical="center"/>
    </xf>
    <xf numFmtId="10" fontId="7" fillId="5" borderId="0" xfId="2" applyNumberFormat="1" applyFont="1" applyFill="1" applyAlignment="1">
      <alignment horizontal="left" vertical="center" indent="3"/>
    </xf>
    <xf numFmtId="0" fontId="16" fillId="5" borderId="0" xfId="0" applyFont="1" applyFill="1" applyAlignment="1">
      <alignment horizontal="left" wrapText="1"/>
    </xf>
    <xf numFmtId="0" fontId="9" fillId="4" borderId="0" xfId="0" applyFont="1" applyFill="1" applyAlignment="1">
      <alignment horizontal="left" wrapText="1"/>
    </xf>
    <xf numFmtId="0" fontId="9" fillId="5" borderId="0" xfId="0" applyFont="1" applyFill="1" applyAlignment="1">
      <alignment horizontal="left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EBEBEB"/>
      <color rgb="FFF9F9F9"/>
      <color rgb="FFEFDF00"/>
      <color rgb="FF494B4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212912</xdr:colOff>
      <xdr:row>0</xdr:row>
      <xdr:rowOff>33612</xdr:rowOff>
    </xdr:from>
    <xdr:to>
      <xdr:col>11</xdr:col>
      <xdr:colOff>1112495</xdr:colOff>
      <xdr:row>1</xdr:row>
      <xdr:rowOff>12640</xdr:rowOff>
    </xdr:to>
    <xdr:pic>
      <xdr:nvPicPr>
        <xdr:cNvPr id="2" name="Picture 1" descr="A picture containing text, clipart&#10;&#10;Description automatically generated">
          <a:extLst>
            <a:ext uri="{FF2B5EF4-FFF2-40B4-BE49-F238E27FC236}">
              <a16:creationId xmlns:a16="http://schemas.microsoft.com/office/drawing/2014/main" id="{C7A86BE8-AB09-4924-BD04-A1EEBD1E79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76912" y="33612"/>
          <a:ext cx="899583" cy="4160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63500</xdr:colOff>
      <xdr:row>0</xdr:row>
      <xdr:rowOff>10583</xdr:rowOff>
    </xdr:from>
    <xdr:to>
      <xdr:col>4</xdr:col>
      <xdr:colOff>963083</xdr:colOff>
      <xdr:row>1</xdr:row>
      <xdr:rowOff>3307</xdr:rowOff>
    </xdr:to>
    <xdr:pic>
      <xdr:nvPicPr>
        <xdr:cNvPr id="2" name="Picture 1" descr="A picture containing text, clipart&#10;&#10;Description automatically generated">
          <a:extLst>
            <a:ext uri="{FF2B5EF4-FFF2-40B4-BE49-F238E27FC236}">
              <a16:creationId xmlns:a16="http://schemas.microsoft.com/office/drawing/2014/main" id="{B7B3A742-765A-F0B5-E8A1-6BDE92BF0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2667" y="10583"/>
          <a:ext cx="899583" cy="416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eme1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NREV">
      <a:majorFont>
        <a:latin typeface="Open Sans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7"/>
  <sheetViews>
    <sheetView showGridLines="0" tabSelected="1" zoomScale="90" zoomScaleNormal="90" workbookViewId="0"/>
  </sheetViews>
  <sheetFormatPr defaultColWidth="9" defaultRowHeight="14.25" x14ac:dyDescent="0.3"/>
  <cols>
    <col min="1" max="1" width="20.375" style="41" customWidth="1"/>
    <col min="2" max="2" width="28.75" style="41" customWidth="1"/>
    <col min="3" max="3" width="18.75" style="41" customWidth="1"/>
    <col min="4" max="4" width="22.75" style="41" customWidth="1"/>
    <col min="5" max="10" width="18.25" style="41" customWidth="1"/>
    <col min="11" max="11" width="19.75" style="41" customWidth="1"/>
    <col min="12" max="12" width="17.25" style="41" customWidth="1"/>
    <col min="13" max="13" width="18.25" style="41" customWidth="1"/>
    <col min="14" max="14" width="19.25" style="41" customWidth="1"/>
    <col min="15" max="15" width="16.75" style="41" customWidth="1"/>
    <col min="16" max="16" width="17.75" style="41" customWidth="1"/>
    <col min="17" max="17" width="18.875" style="41" customWidth="1"/>
    <col min="18" max="16384" width="9" style="41"/>
  </cols>
  <sheetData>
    <row r="1" spans="1:14" s="38" customFormat="1" ht="34.5" customHeight="1" x14ac:dyDescent="0.2">
      <c r="A1" s="38" t="s">
        <v>92</v>
      </c>
    </row>
    <row r="3" spans="1:14" s="39" customFormat="1" ht="33" customHeight="1" x14ac:dyDescent="0.2">
      <c r="A3" s="38" t="s">
        <v>21</v>
      </c>
    </row>
    <row r="4" spans="1:14" ht="16.5" x14ac:dyDescent="0.3">
      <c r="A4" s="40"/>
    </row>
    <row r="5" spans="1:14" s="64" customFormat="1" ht="24" customHeight="1" x14ac:dyDescent="0.2">
      <c r="A5" s="77" t="s">
        <v>22</v>
      </c>
      <c r="B5" s="61"/>
      <c r="E5" s="65">
        <v>44561</v>
      </c>
    </row>
    <row r="6" spans="1:14" s="67" customFormat="1" ht="24" customHeight="1" x14ac:dyDescent="0.2">
      <c r="A6" s="62"/>
      <c r="B6" s="62"/>
      <c r="C6" s="66"/>
      <c r="K6" s="62" t="s">
        <v>57</v>
      </c>
      <c r="L6" s="73">
        <v>150000000</v>
      </c>
      <c r="M6" s="62"/>
    </row>
    <row r="7" spans="1:14" s="69" customFormat="1" ht="24" customHeight="1" x14ac:dyDescent="0.2">
      <c r="A7" s="74" t="s">
        <v>35</v>
      </c>
      <c r="B7" s="74"/>
      <c r="E7" s="72">
        <f>C27-1200000-1000000</f>
        <v>287800000</v>
      </c>
      <c r="K7" s="63" t="s">
        <v>56</v>
      </c>
      <c r="L7" s="73">
        <v>170000000</v>
      </c>
      <c r="M7" s="63"/>
    </row>
    <row r="8" spans="1:14" s="67" customFormat="1" ht="24" customHeight="1" x14ac:dyDescent="0.2">
      <c r="A8" s="75" t="s">
        <v>36</v>
      </c>
      <c r="B8" s="75"/>
      <c r="E8" s="72">
        <f>C22-1000000</f>
        <v>270000000</v>
      </c>
      <c r="K8" s="62" t="s">
        <v>58</v>
      </c>
      <c r="L8" s="73">
        <v>5000000</v>
      </c>
      <c r="M8" s="62" t="s">
        <v>75</v>
      </c>
      <c r="N8" s="71"/>
    </row>
    <row r="9" spans="1:14" s="69" customFormat="1" ht="24" customHeight="1" x14ac:dyDescent="0.2">
      <c r="A9" s="76" t="s">
        <v>37</v>
      </c>
      <c r="B9" s="74"/>
      <c r="E9" s="70">
        <f>M42</f>
        <v>6849315.0684931502</v>
      </c>
      <c r="K9" s="63" t="s">
        <v>59</v>
      </c>
      <c r="L9" s="73">
        <v>10000000</v>
      </c>
      <c r="M9" s="63" t="s">
        <v>75</v>
      </c>
    </row>
    <row r="10" spans="1:14" s="67" customFormat="1" ht="24" customHeight="1" x14ac:dyDescent="0.2">
      <c r="A10" s="75" t="s">
        <v>38</v>
      </c>
      <c r="B10" s="75"/>
      <c r="E10" s="68">
        <v>0</v>
      </c>
      <c r="K10" s="62" t="s">
        <v>60</v>
      </c>
      <c r="L10" s="73">
        <v>2050000</v>
      </c>
      <c r="M10" s="62"/>
    </row>
    <row r="11" spans="1:14" s="69" customFormat="1" ht="24" customHeight="1" x14ac:dyDescent="0.2">
      <c r="A11" s="74" t="s">
        <v>39</v>
      </c>
      <c r="B11" s="74"/>
      <c r="E11" s="70">
        <f>M41+M43</f>
        <v>-5197260.2739726026</v>
      </c>
      <c r="K11" s="63" t="s">
        <v>61</v>
      </c>
      <c r="L11" s="73">
        <v>500000</v>
      </c>
      <c r="M11" s="63"/>
    </row>
    <row r="12" spans="1:14" x14ac:dyDescent="0.3">
      <c r="E12" s="42"/>
    </row>
    <row r="13" spans="1:14" x14ac:dyDescent="0.3">
      <c r="E13" s="45"/>
      <c r="F13" s="44"/>
      <c r="G13" s="46"/>
    </row>
    <row r="14" spans="1:14" s="38" customFormat="1" ht="33" customHeight="1" x14ac:dyDescent="0.2">
      <c r="A14" s="38" t="s">
        <v>23</v>
      </c>
    </row>
    <row r="16" spans="1:14" s="78" customFormat="1" ht="60" x14ac:dyDescent="0.2">
      <c r="A16" s="78" t="s">
        <v>0</v>
      </c>
      <c r="B16" s="78" t="s">
        <v>1</v>
      </c>
      <c r="C16" s="78" t="s">
        <v>2</v>
      </c>
      <c r="D16" s="79" t="s">
        <v>16</v>
      </c>
      <c r="E16" s="79" t="s">
        <v>17</v>
      </c>
      <c r="F16" s="79" t="s">
        <v>42</v>
      </c>
      <c r="G16" s="79" t="s">
        <v>18</v>
      </c>
      <c r="H16" s="79" t="s">
        <v>90</v>
      </c>
      <c r="I16" s="79" t="s">
        <v>28</v>
      </c>
      <c r="J16" s="79" t="s">
        <v>29</v>
      </c>
      <c r="K16" s="79"/>
    </row>
    <row r="17" spans="1:15" s="124" customFormat="1" ht="15" x14ac:dyDescent="0.2">
      <c r="D17" s="125"/>
      <c r="E17" s="125"/>
      <c r="F17" s="125"/>
      <c r="G17" s="125"/>
      <c r="H17" s="125"/>
      <c r="I17" s="125"/>
      <c r="J17" s="125"/>
      <c r="K17" s="125"/>
    </row>
    <row r="18" spans="1:15" ht="24" customHeight="1" x14ac:dyDescent="0.3">
      <c r="A18" s="110">
        <v>2019</v>
      </c>
      <c r="B18" s="117">
        <v>4</v>
      </c>
      <c r="C18" s="80">
        <v>150000000</v>
      </c>
      <c r="D18" s="87">
        <f>B34</f>
        <v>145000000</v>
      </c>
      <c r="E18" s="91"/>
      <c r="F18" s="87"/>
      <c r="G18" s="91"/>
      <c r="H18" s="95">
        <v>3000000</v>
      </c>
      <c r="I18" s="99">
        <f>J18-H18</f>
        <v>2000000</v>
      </c>
      <c r="J18" s="103">
        <f>C18-D18</f>
        <v>5000000</v>
      </c>
    </row>
    <row r="19" spans="1:15" ht="24" customHeight="1" x14ac:dyDescent="0.3">
      <c r="A19" s="111">
        <v>2020</v>
      </c>
      <c r="B19" s="118">
        <v>1</v>
      </c>
      <c r="C19" s="81">
        <v>175000000</v>
      </c>
      <c r="D19" s="88">
        <f>B35</f>
        <v>26000000</v>
      </c>
      <c r="E19" s="92"/>
      <c r="F19" s="88"/>
      <c r="G19" s="92"/>
      <c r="H19" s="96">
        <v>-1500000</v>
      </c>
      <c r="I19" s="100">
        <f t="shared" ref="I19:I27" si="0">J19-H19</f>
        <v>500000</v>
      </c>
      <c r="J19" s="104">
        <f>C19-D19-C18</f>
        <v>-1000000</v>
      </c>
    </row>
    <row r="20" spans="1:15" ht="24" customHeight="1" x14ac:dyDescent="0.3">
      <c r="A20" s="112">
        <v>2020</v>
      </c>
      <c r="B20" s="119">
        <v>2</v>
      </c>
      <c r="C20" s="82">
        <v>235000000</v>
      </c>
      <c r="D20" s="89">
        <f>B36+B37</f>
        <v>64000000</v>
      </c>
      <c r="E20" s="93"/>
      <c r="F20" s="89"/>
      <c r="G20" s="93">
        <f>B38</f>
        <v>-6000000</v>
      </c>
      <c r="H20" s="97">
        <v>1000000</v>
      </c>
      <c r="I20" s="101">
        <f t="shared" si="0"/>
        <v>1000000</v>
      </c>
      <c r="J20" s="105">
        <f>C20-D20-C19-E20-G20</f>
        <v>2000000</v>
      </c>
      <c r="O20" s="43"/>
    </row>
    <row r="21" spans="1:15" ht="24" customHeight="1" x14ac:dyDescent="0.3">
      <c r="A21" s="113">
        <v>2020</v>
      </c>
      <c r="B21" s="120">
        <v>3</v>
      </c>
      <c r="C21" s="83">
        <v>236000000</v>
      </c>
      <c r="D21" s="87"/>
      <c r="E21" s="91"/>
      <c r="F21" s="87"/>
      <c r="G21" s="91"/>
      <c r="H21" s="95">
        <v>1800000</v>
      </c>
      <c r="I21" s="99">
        <f t="shared" si="0"/>
        <v>-800000</v>
      </c>
      <c r="J21" s="106">
        <f>C21-D21-C20-E21-G21</f>
        <v>1000000</v>
      </c>
    </row>
    <row r="22" spans="1:15" ht="24" customHeight="1" x14ac:dyDescent="0.3">
      <c r="A22" s="110">
        <v>2020</v>
      </c>
      <c r="B22" s="117">
        <v>4</v>
      </c>
      <c r="C22" s="80">
        <v>271000000</v>
      </c>
      <c r="D22" s="87">
        <f>B40</f>
        <v>35000000</v>
      </c>
      <c r="E22" s="91"/>
      <c r="F22" s="87"/>
      <c r="G22" s="91">
        <f>B39</f>
        <v>-6000000</v>
      </c>
      <c r="H22" s="95">
        <v>2000000</v>
      </c>
      <c r="I22" s="99">
        <f t="shared" si="0"/>
        <v>4000000</v>
      </c>
      <c r="J22" s="103">
        <f>C22-D22-C21-E22-G22</f>
        <v>6000000</v>
      </c>
    </row>
    <row r="23" spans="1:15" ht="24" customHeight="1" x14ac:dyDescent="0.3">
      <c r="A23" s="114">
        <v>2020</v>
      </c>
      <c r="B23" s="121">
        <v>4</v>
      </c>
      <c r="C23" s="84">
        <v>271000000</v>
      </c>
      <c r="D23" s="90"/>
      <c r="E23" s="94"/>
      <c r="F23" s="90">
        <v>-1000000</v>
      </c>
      <c r="G23" s="94"/>
      <c r="H23" s="98">
        <f>+F23</f>
        <v>-1000000</v>
      </c>
      <c r="I23" s="102"/>
      <c r="J23" s="107">
        <f>+H23</f>
        <v>-1000000</v>
      </c>
      <c r="L23" s="47"/>
      <c r="M23" s="47"/>
      <c r="N23" s="47"/>
    </row>
    <row r="24" spans="1:15" ht="24" customHeight="1" x14ac:dyDescent="0.3">
      <c r="A24" s="115">
        <v>2021</v>
      </c>
      <c r="B24" s="122">
        <v>1</v>
      </c>
      <c r="C24" s="85">
        <v>275000000</v>
      </c>
      <c r="D24" s="88"/>
      <c r="E24" s="92"/>
      <c r="F24" s="88"/>
      <c r="G24" s="92"/>
      <c r="H24" s="96">
        <v>2000000</v>
      </c>
      <c r="I24" s="100">
        <f t="shared" si="0"/>
        <v>2000000</v>
      </c>
      <c r="J24" s="108">
        <f>C24-D24-C22-E24-G24</f>
        <v>4000000</v>
      </c>
    </row>
    <row r="25" spans="1:15" ht="24" customHeight="1" x14ac:dyDescent="0.3">
      <c r="A25" s="113">
        <v>2021</v>
      </c>
      <c r="B25" s="120">
        <v>2</v>
      </c>
      <c r="C25" s="83">
        <v>266000000</v>
      </c>
      <c r="D25" s="87"/>
      <c r="E25" s="91"/>
      <c r="F25" s="87"/>
      <c r="G25" s="91">
        <f>B43</f>
        <v>-7000000</v>
      </c>
      <c r="H25" s="95">
        <v>2000000</v>
      </c>
      <c r="I25" s="99">
        <f t="shared" si="0"/>
        <v>-4000000</v>
      </c>
      <c r="J25" s="106">
        <f>C25-D25-C24-E25-G25</f>
        <v>-2000000</v>
      </c>
      <c r="O25" s="43"/>
    </row>
    <row r="26" spans="1:15" ht="24" customHeight="1" x14ac:dyDescent="0.3">
      <c r="A26" s="116">
        <v>2021</v>
      </c>
      <c r="B26" s="123">
        <v>3</v>
      </c>
      <c r="C26" s="86">
        <v>293000000</v>
      </c>
      <c r="D26" s="90">
        <f>B42</f>
        <v>25000000</v>
      </c>
      <c r="E26" s="94"/>
      <c r="F26" s="90"/>
      <c r="G26" s="94"/>
      <c r="H26" s="98">
        <v>2200000</v>
      </c>
      <c r="I26" s="102">
        <f t="shared" si="0"/>
        <v>-200000</v>
      </c>
      <c r="J26" s="109">
        <f>C26-D26-C25-E26-G26</f>
        <v>2000000</v>
      </c>
    </row>
    <row r="27" spans="1:15" ht="24" customHeight="1" x14ac:dyDescent="0.3">
      <c r="A27" s="111">
        <v>2021</v>
      </c>
      <c r="B27" s="118">
        <v>4</v>
      </c>
      <c r="C27" s="81">
        <v>290000000</v>
      </c>
      <c r="D27" s="88"/>
      <c r="E27" s="92"/>
      <c r="F27" s="88"/>
      <c r="G27" s="92">
        <f>B43</f>
        <v>-7000000</v>
      </c>
      <c r="H27" s="96">
        <v>1850000</v>
      </c>
      <c r="I27" s="100">
        <f t="shared" si="0"/>
        <v>2150000</v>
      </c>
      <c r="J27" s="104">
        <f>C27-D27-C26-E27-G27</f>
        <v>4000000</v>
      </c>
    </row>
    <row r="28" spans="1:15" ht="24" customHeight="1" x14ac:dyDescent="0.3">
      <c r="A28" s="110">
        <v>2021</v>
      </c>
      <c r="B28" s="117">
        <v>4</v>
      </c>
      <c r="C28" s="80">
        <v>290000000</v>
      </c>
      <c r="D28" s="87"/>
      <c r="E28" s="91"/>
      <c r="F28" s="87">
        <v>-1200000</v>
      </c>
      <c r="G28" s="91"/>
      <c r="H28" s="95">
        <f>+F28</f>
        <v>-1200000</v>
      </c>
      <c r="I28" s="99"/>
      <c r="J28" s="103">
        <f>+H28</f>
        <v>-1200000</v>
      </c>
    </row>
    <row r="29" spans="1:15" x14ac:dyDescent="0.3">
      <c r="B29" s="49"/>
      <c r="C29" s="49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</row>
    <row r="30" spans="1:15" s="38" customFormat="1" ht="33" customHeight="1" x14ac:dyDescent="0.2">
      <c r="A30" s="38" t="s">
        <v>19</v>
      </c>
    </row>
    <row r="31" spans="1:15" x14ac:dyDescent="0.3">
      <c r="B31" s="51"/>
      <c r="I31" s="52"/>
      <c r="J31" s="52"/>
      <c r="K31" s="52"/>
      <c r="L31" s="52"/>
      <c r="M31" s="52"/>
    </row>
    <row r="32" spans="1:15" s="79" customFormat="1" ht="30" x14ac:dyDescent="0.2">
      <c r="B32" s="79" t="s">
        <v>3</v>
      </c>
      <c r="C32" s="79" t="s">
        <v>4</v>
      </c>
      <c r="D32" s="79" t="s">
        <v>69</v>
      </c>
      <c r="E32" s="79" t="s">
        <v>70</v>
      </c>
      <c r="F32" s="79" t="s">
        <v>71</v>
      </c>
      <c r="G32" s="79" t="s">
        <v>72</v>
      </c>
      <c r="H32" s="79" t="s">
        <v>20</v>
      </c>
      <c r="I32" s="79" t="s">
        <v>77</v>
      </c>
      <c r="J32" s="79" t="s">
        <v>78</v>
      </c>
      <c r="K32" s="79" t="s">
        <v>5</v>
      </c>
      <c r="L32" s="79" t="s">
        <v>24</v>
      </c>
      <c r="M32" s="79" t="s">
        <v>25</v>
      </c>
    </row>
    <row r="33" spans="1:18" s="147" customFormat="1" ht="18" x14ac:dyDescent="0.2"/>
    <row r="34" spans="1:18" ht="24" customHeight="1" x14ac:dyDescent="0.3">
      <c r="A34" s="112" t="s">
        <v>6</v>
      </c>
      <c r="B34" s="126">
        <v>145000000</v>
      </c>
      <c r="C34" s="144">
        <v>43784</v>
      </c>
      <c r="D34" s="141">
        <v>43738</v>
      </c>
      <c r="E34" s="148">
        <f>EOMONTH(D34,3)</f>
        <v>43830</v>
      </c>
      <c r="F34" s="149">
        <f>C34-D34</f>
        <v>46</v>
      </c>
      <c r="G34" s="150">
        <f>E34-D34</f>
        <v>92</v>
      </c>
      <c r="H34" s="149"/>
      <c r="I34" s="151"/>
      <c r="J34" s="80"/>
      <c r="K34" s="152" t="s">
        <v>45</v>
      </c>
      <c r="L34" s="153"/>
      <c r="M34" s="82"/>
      <c r="N34" s="147"/>
    </row>
    <row r="35" spans="1:18" ht="24" customHeight="1" x14ac:dyDescent="0.3">
      <c r="A35" s="113" t="s">
        <v>7</v>
      </c>
      <c r="B35" s="127">
        <v>26000000</v>
      </c>
      <c r="C35" s="145">
        <v>43872</v>
      </c>
      <c r="D35" s="142">
        <v>43830</v>
      </c>
      <c r="E35" s="139">
        <f t="shared" ref="E35:E43" si="1">EOMONTH(D35,3)</f>
        <v>43921</v>
      </c>
      <c r="F35" s="133">
        <f t="shared" ref="F35:F43" si="2">C35-D35</f>
        <v>42</v>
      </c>
      <c r="G35" s="135">
        <f t="shared" ref="G35:G43" si="3">E35-D35</f>
        <v>91</v>
      </c>
      <c r="H35" s="133">
        <v>42</v>
      </c>
      <c r="I35" s="129">
        <f>(G35-F35)/G35</f>
        <v>0.53846153846153844</v>
      </c>
      <c r="J35" s="83">
        <f>B35*I35</f>
        <v>14000000</v>
      </c>
      <c r="K35" s="131" t="s">
        <v>46</v>
      </c>
      <c r="L35" s="129">
        <f t="shared" ref="L35:L43" si="4">1-(H35/365)</f>
        <v>0.8849315068493151</v>
      </c>
      <c r="M35" s="83">
        <f t="shared" ref="M35:M43" si="5">B35*L35</f>
        <v>23008219.178082194</v>
      </c>
      <c r="N35" s="147"/>
    </row>
    <row r="36" spans="1:18" ht="24" customHeight="1" x14ac:dyDescent="0.3">
      <c r="A36" s="115" t="s">
        <v>8</v>
      </c>
      <c r="B36" s="128">
        <v>39000000</v>
      </c>
      <c r="C36" s="146">
        <v>43958</v>
      </c>
      <c r="D36" s="143">
        <v>43921</v>
      </c>
      <c r="E36" s="140">
        <f t="shared" si="1"/>
        <v>44012</v>
      </c>
      <c r="F36" s="134">
        <f>C36-D36</f>
        <v>37</v>
      </c>
      <c r="G36" s="136">
        <f t="shared" si="3"/>
        <v>91</v>
      </c>
      <c r="H36" s="134">
        <v>127</v>
      </c>
      <c r="I36" s="130">
        <f>(G36-F36)/G36</f>
        <v>0.59340659340659341</v>
      </c>
      <c r="J36" s="85">
        <f t="shared" ref="J36:J43" si="6">B36*I36</f>
        <v>23142857.142857142</v>
      </c>
      <c r="K36" s="132" t="s">
        <v>47</v>
      </c>
      <c r="L36" s="130">
        <f t="shared" si="4"/>
        <v>0.65205479452054793</v>
      </c>
      <c r="M36" s="85">
        <f t="shared" si="5"/>
        <v>25430136.98630137</v>
      </c>
      <c r="N36" s="147"/>
      <c r="R36" s="48"/>
    </row>
    <row r="37" spans="1:18" ht="24" customHeight="1" x14ac:dyDescent="0.3">
      <c r="A37" s="113" t="s">
        <v>9</v>
      </c>
      <c r="B37" s="127">
        <v>25000000</v>
      </c>
      <c r="C37" s="145">
        <v>43958</v>
      </c>
      <c r="D37" s="142">
        <v>43921</v>
      </c>
      <c r="E37" s="139">
        <f t="shared" si="1"/>
        <v>44012</v>
      </c>
      <c r="F37" s="133">
        <f t="shared" si="2"/>
        <v>37</v>
      </c>
      <c r="G37" s="135">
        <f t="shared" si="3"/>
        <v>91</v>
      </c>
      <c r="H37" s="133">
        <v>127</v>
      </c>
      <c r="I37" s="129">
        <f t="shared" ref="I37:I43" si="7">(G37-F37)/G37</f>
        <v>0.59340659340659341</v>
      </c>
      <c r="J37" s="83">
        <f t="shared" si="6"/>
        <v>14835164.835164836</v>
      </c>
      <c r="K37" s="131" t="s">
        <v>47</v>
      </c>
      <c r="L37" s="129">
        <f t="shared" si="4"/>
        <v>0.65205479452054793</v>
      </c>
      <c r="M37" s="83">
        <f t="shared" si="5"/>
        <v>16301369.863013698</v>
      </c>
      <c r="N37" s="147"/>
      <c r="R37" s="48"/>
    </row>
    <row r="38" spans="1:18" ht="24" customHeight="1" x14ac:dyDescent="0.3">
      <c r="A38" s="115" t="s">
        <v>12</v>
      </c>
      <c r="B38" s="128">
        <v>-6000000</v>
      </c>
      <c r="C38" s="138">
        <v>43978</v>
      </c>
      <c r="D38" s="143">
        <v>43921</v>
      </c>
      <c r="E38" s="140">
        <f t="shared" si="1"/>
        <v>44012</v>
      </c>
      <c r="F38" s="134">
        <f t="shared" si="2"/>
        <v>57</v>
      </c>
      <c r="G38" s="136">
        <f t="shared" si="3"/>
        <v>91</v>
      </c>
      <c r="H38" s="134">
        <v>147</v>
      </c>
      <c r="I38" s="130">
        <f t="shared" si="7"/>
        <v>0.37362637362637363</v>
      </c>
      <c r="J38" s="85">
        <f t="shared" si="6"/>
        <v>-2241758.2417582418</v>
      </c>
      <c r="K38" s="132" t="s">
        <v>47</v>
      </c>
      <c r="L38" s="130">
        <f t="shared" si="4"/>
        <v>0.59726027397260273</v>
      </c>
      <c r="M38" s="85">
        <f t="shared" si="5"/>
        <v>-3583561.6438356163</v>
      </c>
      <c r="N38" s="147"/>
      <c r="R38" s="48"/>
    </row>
    <row r="39" spans="1:18" ht="24" customHeight="1" x14ac:dyDescent="0.3">
      <c r="A39" s="113" t="s">
        <v>13</v>
      </c>
      <c r="B39" s="127">
        <v>-6000000</v>
      </c>
      <c r="C39" s="137">
        <v>44137</v>
      </c>
      <c r="D39" s="142">
        <v>44104</v>
      </c>
      <c r="E39" s="139">
        <f t="shared" si="1"/>
        <v>44196</v>
      </c>
      <c r="F39" s="133">
        <f t="shared" si="2"/>
        <v>33</v>
      </c>
      <c r="G39" s="135">
        <f t="shared" si="3"/>
        <v>92</v>
      </c>
      <c r="H39" s="133">
        <v>306</v>
      </c>
      <c r="I39" s="129">
        <f t="shared" si="7"/>
        <v>0.64130434782608692</v>
      </c>
      <c r="J39" s="83">
        <f t="shared" si="6"/>
        <v>-3847826.0869565215</v>
      </c>
      <c r="K39" s="131" t="s">
        <v>48</v>
      </c>
      <c r="L39" s="129">
        <f t="shared" si="4"/>
        <v>0.16164383561643836</v>
      </c>
      <c r="M39" s="83">
        <f t="shared" si="5"/>
        <v>-969863.01369863015</v>
      </c>
      <c r="N39" s="147"/>
      <c r="R39" s="48"/>
    </row>
    <row r="40" spans="1:18" ht="24" customHeight="1" x14ac:dyDescent="0.3">
      <c r="A40" s="115" t="s">
        <v>10</v>
      </c>
      <c r="B40" s="128">
        <v>35000000</v>
      </c>
      <c r="C40" s="138">
        <v>44161</v>
      </c>
      <c r="D40" s="143">
        <v>44104</v>
      </c>
      <c r="E40" s="140">
        <f t="shared" si="1"/>
        <v>44196</v>
      </c>
      <c r="F40" s="134">
        <f t="shared" si="2"/>
        <v>57</v>
      </c>
      <c r="G40" s="136">
        <f t="shared" si="3"/>
        <v>92</v>
      </c>
      <c r="H40" s="134">
        <v>330</v>
      </c>
      <c r="I40" s="130">
        <f t="shared" si="7"/>
        <v>0.38043478260869568</v>
      </c>
      <c r="J40" s="85">
        <f t="shared" si="6"/>
        <v>13315217.39130435</v>
      </c>
      <c r="K40" s="132" t="s">
        <v>48</v>
      </c>
      <c r="L40" s="130">
        <f t="shared" si="4"/>
        <v>9.589041095890416E-2</v>
      </c>
      <c r="M40" s="85">
        <f t="shared" si="5"/>
        <v>3356164.3835616456</v>
      </c>
      <c r="N40" s="147"/>
      <c r="R40" s="48"/>
    </row>
    <row r="41" spans="1:18" ht="24" customHeight="1" x14ac:dyDescent="0.3">
      <c r="A41" s="113" t="s">
        <v>14</v>
      </c>
      <c r="B41" s="127">
        <v>-7000000</v>
      </c>
      <c r="C41" s="137">
        <v>44343</v>
      </c>
      <c r="D41" s="142">
        <v>44286</v>
      </c>
      <c r="E41" s="139">
        <f t="shared" si="1"/>
        <v>44377</v>
      </c>
      <c r="F41" s="133">
        <f t="shared" si="2"/>
        <v>57</v>
      </c>
      <c r="G41" s="135">
        <f t="shared" si="3"/>
        <v>91</v>
      </c>
      <c r="H41" s="133">
        <v>147</v>
      </c>
      <c r="I41" s="129">
        <f t="shared" si="7"/>
        <v>0.37362637362637363</v>
      </c>
      <c r="J41" s="83">
        <f t="shared" si="6"/>
        <v>-2615384.6153846155</v>
      </c>
      <c r="K41" s="131" t="s">
        <v>49</v>
      </c>
      <c r="L41" s="129">
        <f t="shared" si="4"/>
        <v>0.59726027397260273</v>
      </c>
      <c r="M41" s="83">
        <f t="shared" si="5"/>
        <v>-4180821.9178082193</v>
      </c>
      <c r="N41" s="147"/>
      <c r="R41" s="48"/>
    </row>
    <row r="42" spans="1:18" ht="24" customHeight="1" x14ac:dyDescent="0.3">
      <c r="A42" s="115" t="s">
        <v>11</v>
      </c>
      <c r="B42" s="128">
        <v>25000000</v>
      </c>
      <c r="C42" s="138">
        <v>44461</v>
      </c>
      <c r="D42" s="143">
        <v>44377</v>
      </c>
      <c r="E42" s="140">
        <f t="shared" si="1"/>
        <v>44469</v>
      </c>
      <c r="F42" s="134">
        <f t="shared" si="2"/>
        <v>84</v>
      </c>
      <c r="G42" s="136">
        <f t="shared" si="3"/>
        <v>92</v>
      </c>
      <c r="H42" s="134">
        <v>265</v>
      </c>
      <c r="I42" s="130">
        <f t="shared" si="7"/>
        <v>8.6956521739130432E-2</v>
      </c>
      <c r="J42" s="85">
        <f t="shared" si="6"/>
        <v>2173913.0434782607</v>
      </c>
      <c r="K42" s="132" t="s">
        <v>50</v>
      </c>
      <c r="L42" s="130">
        <f t="shared" si="4"/>
        <v>0.27397260273972601</v>
      </c>
      <c r="M42" s="85">
        <f t="shared" si="5"/>
        <v>6849315.0684931502</v>
      </c>
      <c r="N42" s="147"/>
      <c r="R42" s="48"/>
    </row>
    <row r="43" spans="1:18" ht="24" customHeight="1" x14ac:dyDescent="0.3">
      <c r="A43" s="113" t="s">
        <v>15</v>
      </c>
      <c r="B43" s="127">
        <v>-7000000</v>
      </c>
      <c r="C43" s="137">
        <v>44508</v>
      </c>
      <c r="D43" s="142">
        <v>44469</v>
      </c>
      <c r="E43" s="139">
        <f t="shared" si="1"/>
        <v>44561</v>
      </c>
      <c r="F43" s="133">
        <f t="shared" si="2"/>
        <v>39</v>
      </c>
      <c r="G43" s="135">
        <f t="shared" si="3"/>
        <v>92</v>
      </c>
      <c r="H43" s="133">
        <v>312</v>
      </c>
      <c r="I43" s="129">
        <f t="shared" si="7"/>
        <v>0.57608695652173914</v>
      </c>
      <c r="J43" s="83">
        <f t="shared" si="6"/>
        <v>-4032608.6956521738</v>
      </c>
      <c r="K43" s="131" t="s">
        <v>51</v>
      </c>
      <c r="L43" s="129">
        <f t="shared" si="4"/>
        <v>0.14520547945205475</v>
      </c>
      <c r="M43" s="83">
        <f t="shared" si="5"/>
        <v>-1016438.3561643832</v>
      </c>
      <c r="N43" s="147"/>
      <c r="R43" s="48"/>
    </row>
    <row r="44" spans="1:18" ht="18" x14ac:dyDescent="0.3">
      <c r="N44" s="147"/>
      <c r="R44" s="48"/>
    </row>
    <row r="45" spans="1:18" x14ac:dyDescent="0.3">
      <c r="A45" s="154"/>
      <c r="B45" s="155" t="s">
        <v>66</v>
      </c>
      <c r="R45" s="48"/>
    </row>
    <row r="46" spans="1:18" ht="21" customHeight="1" x14ac:dyDescent="0.3">
      <c r="R46" s="48"/>
    </row>
    <row r="47" spans="1:18" ht="18" x14ac:dyDescent="0.3">
      <c r="A47" s="38" t="s">
        <v>76</v>
      </c>
      <c r="B47" s="38"/>
      <c r="C47" s="38"/>
      <c r="D47" s="38"/>
      <c r="E47" s="38"/>
      <c r="F47" s="38"/>
      <c r="G47" s="38"/>
      <c r="H47" s="38"/>
      <c r="I47" s="38"/>
      <c r="J47" s="38"/>
      <c r="L47" s="38" t="s">
        <v>79</v>
      </c>
      <c r="M47" s="38"/>
      <c r="N47" s="38"/>
      <c r="O47" s="38"/>
      <c r="P47" s="38"/>
    </row>
    <row r="49" spans="1:16" ht="31.5" customHeight="1" x14ac:dyDescent="0.3">
      <c r="A49" s="60"/>
      <c r="B49" s="60"/>
      <c r="C49" s="167"/>
      <c r="D49" s="167"/>
      <c r="E49" s="167"/>
      <c r="F49" s="60"/>
      <c r="G49" s="165" t="s">
        <v>67</v>
      </c>
      <c r="H49" s="174" t="s">
        <v>41</v>
      </c>
      <c r="I49" s="174"/>
      <c r="J49" s="60"/>
      <c r="L49" s="60" t="s">
        <v>80</v>
      </c>
      <c r="M49" s="60"/>
      <c r="N49" s="60"/>
      <c r="O49" s="60"/>
      <c r="P49" s="60"/>
    </row>
    <row r="50" spans="1:16" x14ac:dyDescent="0.3">
      <c r="A50" s="60"/>
      <c r="B50" s="60"/>
      <c r="C50" s="168" t="s">
        <v>26</v>
      </c>
      <c r="D50" s="167" t="s">
        <v>87</v>
      </c>
      <c r="E50" s="167" t="s">
        <v>27</v>
      </c>
      <c r="F50" s="60"/>
      <c r="G50" s="60" t="s">
        <v>40</v>
      </c>
      <c r="H50" s="174"/>
      <c r="I50" s="174"/>
      <c r="J50" s="60"/>
      <c r="L50" s="166"/>
      <c r="M50" s="166"/>
      <c r="N50" s="169" t="s">
        <v>26</v>
      </c>
      <c r="O50" s="170" t="s">
        <v>87</v>
      </c>
      <c r="P50" s="170" t="s">
        <v>27</v>
      </c>
    </row>
    <row r="51" spans="1:16" ht="33" customHeight="1" x14ac:dyDescent="0.3">
      <c r="A51" s="163" t="s">
        <v>52</v>
      </c>
      <c r="B51" s="55"/>
      <c r="C51" s="160">
        <f>SUM(C52:C53)</f>
        <v>6800000</v>
      </c>
      <c r="D51" s="59">
        <f>(E8+E9+E10+E11)</f>
        <v>271652054.7945205</v>
      </c>
      <c r="E51" s="161">
        <f>C51/D51</f>
        <v>2.5032021219731127E-2</v>
      </c>
      <c r="F51" s="55"/>
      <c r="G51" s="55" t="s">
        <v>93</v>
      </c>
      <c r="H51" s="56">
        <f>D18+D19+D20+D22+D26</f>
        <v>295000000</v>
      </c>
      <c r="I51" s="55"/>
      <c r="J51" s="55"/>
      <c r="L51" s="54" t="s">
        <v>52</v>
      </c>
      <c r="M51" s="54"/>
      <c r="N51" s="156">
        <f>SUM(N52:N53)</f>
        <v>4000000</v>
      </c>
      <c r="O51" s="57">
        <f>+E8</f>
        <v>270000000</v>
      </c>
      <c r="P51" s="157">
        <f>N51/O51</f>
        <v>1.4814814814814815E-2</v>
      </c>
    </row>
    <row r="52" spans="1:16" ht="23.25" customHeight="1" x14ac:dyDescent="0.3">
      <c r="A52" s="164" t="s">
        <v>53</v>
      </c>
      <c r="B52" s="54"/>
      <c r="C52" s="156">
        <f>SUM(H24:H28)</f>
        <v>6850000</v>
      </c>
      <c r="D52" s="57">
        <f>(E8+E9+E10+E11)</f>
        <v>271652054.7945205</v>
      </c>
      <c r="E52" s="157">
        <f>C52/D52</f>
        <v>2.5216080199287973E-2</v>
      </c>
      <c r="F52" s="54"/>
      <c r="G52" s="54" t="s">
        <v>94</v>
      </c>
      <c r="H52" s="58">
        <v>400000000</v>
      </c>
      <c r="I52" s="54"/>
      <c r="J52" s="54"/>
      <c r="L52" s="55" t="s">
        <v>53</v>
      </c>
      <c r="M52" s="55"/>
      <c r="N52" s="160">
        <f>+H24</f>
        <v>2000000</v>
      </c>
      <c r="O52" s="59">
        <f>+O51</f>
        <v>270000000</v>
      </c>
      <c r="P52" s="161">
        <f>N52/O52</f>
        <v>7.4074074074074077E-3</v>
      </c>
    </row>
    <row r="53" spans="1:16" ht="24" customHeight="1" x14ac:dyDescent="0.3">
      <c r="A53" s="163" t="s">
        <v>54</v>
      </c>
      <c r="B53" s="55"/>
      <c r="C53" s="160">
        <f>SUM(I24:I27)</f>
        <v>-50000</v>
      </c>
      <c r="D53" s="59">
        <f>(E8+E9+E10+E11)</f>
        <v>271652054.7945205</v>
      </c>
      <c r="E53" s="161">
        <f>C53/D53</f>
        <v>-1.8405897955684652E-4</v>
      </c>
      <c r="F53" s="55"/>
      <c r="G53" s="55" t="s">
        <v>33</v>
      </c>
      <c r="H53" s="56">
        <f>E7-G20-G22-G25-G27</f>
        <v>313800000</v>
      </c>
      <c r="I53" s="55"/>
      <c r="J53" s="55"/>
      <c r="L53" s="54" t="s">
        <v>54</v>
      </c>
      <c r="M53" s="54"/>
      <c r="N53" s="156">
        <f>+I24</f>
        <v>2000000</v>
      </c>
      <c r="O53" s="57">
        <f>+O52</f>
        <v>270000000</v>
      </c>
      <c r="P53" s="157">
        <f>N53/O53</f>
        <v>7.4074074074074077E-3</v>
      </c>
    </row>
    <row r="54" spans="1:16" ht="24" customHeight="1" x14ac:dyDescent="0.3">
      <c r="A54" s="164"/>
      <c r="B54" s="54"/>
      <c r="C54" s="158"/>
      <c r="D54" s="158"/>
      <c r="E54" s="158"/>
      <c r="F54" s="54"/>
      <c r="G54" s="54" t="s">
        <v>32</v>
      </c>
      <c r="H54" s="58">
        <f>-G20-G22-G25-G27</f>
        <v>26000000</v>
      </c>
      <c r="I54" s="54"/>
      <c r="J54" s="54"/>
      <c r="N54" s="53"/>
      <c r="O54" s="53"/>
      <c r="P54" s="53"/>
    </row>
    <row r="55" spans="1:16" ht="24" customHeight="1" x14ac:dyDescent="0.3">
      <c r="A55" s="163" t="s">
        <v>43</v>
      </c>
      <c r="B55" s="55"/>
      <c r="C55" s="160">
        <f>-B43-B41</f>
        <v>14000000</v>
      </c>
      <c r="D55" s="59">
        <f>(E8+E9+E10+E11)</f>
        <v>271652054.7945205</v>
      </c>
      <c r="E55" s="161">
        <f>C55/D55</f>
        <v>5.1536514275917024E-2</v>
      </c>
      <c r="F55" s="55"/>
      <c r="G55" s="55" t="s">
        <v>34</v>
      </c>
      <c r="H55" s="56">
        <f>E7</f>
        <v>287800000</v>
      </c>
      <c r="I55" s="55"/>
      <c r="J55" s="55"/>
      <c r="L55" s="54" t="s">
        <v>43</v>
      </c>
      <c r="M55" s="54"/>
      <c r="N55" s="156"/>
      <c r="O55" s="57">
        <f>+O51</f>
        <v>270000000</v>
      </c>
      <c r="P55" s="157">
        <f>N55/O55</f>
        <v>0</v>
      </c>
    </row>
    <row r="56" spans="1:16" ht="24" customHeight="1" x14ac:dyDescent="0.3">
      <c r="A56" s="164" t="s">
        <v>55</v>
      </c>
      <c r="B56" s="54"/>
      <c r="C56" s="156">
        <f>(E7-F28-E8)-B42-B41-B43</f>
        <v>8000000</v>
      </c>
      <c r="D56" s="57">
        <f>(E8+E9+E10+E11)-F28</f>
        <v>272852054.7945205</v>
      </c>
      <c r="E56" s="157">
        <f>C56/D56</f>
        <v>2.9319918466528105E-2</v>
      </c>
      <c r="F56" s="54"/>
      <c r="G56" s="54"/>
      <c r="H56" s="54"/>
      <c r="I56" s="54"/>
      <c r="J56" s="54"/>
      <c r="L56" s="55" t="s">
        <v>55</v>
      </c>
      <c r="M56" s="55"/>
      <c r="N56" s="160">
        <f>+N51-$F$28/4</f>
        <v>4300000</v>
      </c>
      <c r="O56" s="59">
        <f>+O51</f>
        <v>270000000</v>
      </c>
      <c r="P56" s="161">
        <f>N56/O56</f>
        <v>1.5925925925925927E-2</v>
      </c>
    </row>
    <row r="57" spans="1:16" ht="24" customHeight="1" x14ac:dyDescent="0.3">
      <c r="G57" s="55" t="s">
        <v>31</v>
      </c>
      <c r="H57" s="162">
        <f>H51/H52</f>
        <v>0.73750000000000004</v>
      </c>
    </row>
    <row r="58" spans="1:16" ht="24" customHeight="1" x14ac:dyDescent="0.3">
      <c r="G58" s="54" t="s">
        <v>73</v>
      </c>
      <c r="H58" s="159">
        <f>H53/H51</f>
        <v>1.0637288135593221</v>
      </c>
      <c r="L58" s="60" t="s">
        <v>81</v>
      </c>
      <c r="M58" s="60"/>
      <c r="N58" s="60"/>
      <c r="O58" s="60"/>
      <c r="P58" s="60"/>
    </row>
    <row r="59" spans="1:16" ht="31.5" customHeight="1" x14ac:dyDescent="0.3">
      <c r="G59" s="175" t="s">
        <v>95</v>
      </c>
      <c r="H59" s="162">
        <f>H54/H51</f>
        <v>8.8135593220338981E-2</v>
      </c>
      <c r="L59" s="166"/>
      <c r="M59" s="166"/>
      <c r="N59" s="169" t="s">
        <v>26</v>
      </c>
      <c r="O59" s="170" t="s">
        <v>87</v>
      </c>
      <c r="P59" s="170" t="s">
        <v>27</v>
      </c>
    </row>
    <row r="60" spans="1:16" ht="31.5" customHeight="1" x14ac:dyDescent="0.3">
      <c r="G60" s="176" t="s">
        <v>96</v>
      </c>
      <c r="H60" s="159">
        <f>H55/H51</f>
        <v>0.9755932203389831</v>
      </c>
      <c r="L60" s="54" t="s">
        <v>52</v>
      </c>
      <c r="M60" s="54"/>
      <c r="N60" s="171">
        <f>SUM(N61:N62)</f>
        <v>-2000000</v>
      </c>
      <c r="O60" s="70">
        <f>+O51+J24+J41</f>
        <v>271384615.38461536</v>
      </c>
      <c r="P60" s="172">
        <f>N60/O60</f>
        <v>-7.3696145124716563E-3</v>
      </c>
    </row>
    <row r="61" spans="1:16" ht="24" customHeight="1" x14ac:dyDescent="0.3">
      <c r="L61" s="55" t="s">
        <v>53</v>
      </c>
      <c r="M61" s="55"/>
      <c r="N61" s="160">
        <f>+H25</f>
        <v>2000000</v>
      </c>
      <c r="O61" s="59">
        <f>+O60</f>
        <v>271384615.38461536</v>
      </c>
      <c r="P61" s="161">
        <f>N61/O61</f>
        <v>7.3696145124716563E-3</v>
      </c>
    </row>
    <row r="62" spans="1:16" ht="24" customHeight="1" x14ac:dyDescent="0.3">
      <c r="L62" s="54" t="s">
        <v>54</v>
      </c>
      <c r="M62" s="54"/>
      <c r="N62" s="156">
        <f>+I25</f>
        <v>-4000000</v>
      </c>
      <c r="O62" s="57">
        <f>+O61</f>
        <v>271384615.38461536</v>
      </c>
      <c r="P62" s="157">
        <f>N62/O62</f>
        <v>-1.4739229024943313E-2</v>
      </c>
    </row>
    <row r="63" spans="1:16" ht="24" customHeight="1" x14ac:dyDescent="0.3">
      <c r="A63" s="38" t="s">
        <v>68</v>
      </c>
      <c r="B63" s="38"/>
      <c r="C63" s="38"/>
      <c r="D63" s="38"/>
      <c r="E63" s="38"/>
      <c r="F63" s="38"/>
      <c r="G63" s="38"/>
      <c r="H63" s="38"/>
      <c r="I63" s="38"/>
      <c r="J63" s="38"/>
      <c r="N63" s="53"/>
      <c r="O63" s="53"/>
      <c r="P63" s="53"/>
    </row>
    <row r="64" spans="1:16" ht="24" customHeight="1" x14ac:dyDescent="0.3">
      <c r="L64" s="54" t="s">
        <v>43</v>
      </c>
      <c r="M64" s="54"/>
      <c r="N64" s="156">
        <f>-B41</f>
        <v>7000000</v>
      </c>
      <c r="O64" s="57">
        <f>+O60</f>
        <v>271384615.38461536</v>
      </c>
      <c r="P64" s="157">
        <f>N64/O64</f>
        <v>2.5793650793650796E-2</v>
      </c>
    </row>
    <row r="65" spans="1:16" ht="24" customHeight="1" x14ac:dyDescent="0.3">
      <c r="A65" s="164"/>
      <c r="B65" s="58"/>
      <c r="C65" s="168" t="s">
        <v>26</v>
      </c>
      <c r="D65" s="167" t="s">
        <v>88</v>
      </c>
      <c r="E65" s="167" t="s">
        <v>27</v>
      </c>
      <c r="F65" s="54"/>
      <c r="G65" s="54"/>
      <c r="H65" s="54"/>
      <c r="I65" s="54"/>
      <c r="J65" s="54"/>
      <c r="L65" s="55" t="s">
        <v>55</v>
      </c>
      <c r="M65" s="55"/>
      <c r="N65" s="160">
        <f>+N60-$F$28/4</f>
        <v>-1700000</v>
      </c>
      <c r="O65" s="59">
        <f>+O60</f>
        <v>271384615.38461536</v>
      </c>
      <c r="P65" s="161">
        <f>N65/O65</f>
        <v>-6.2641723356009074E-3</v>
      </c>
    </row>
    <row r="66" spans="1:16" ht="24" customHeight="1" x14ac:dyDescent="0.3">
      <c r="A66" s="163" t="s">
        <v>62</v>
      </c>
      <c r="B66" s="55"/>
      <c r="C66" s="59">
        <f>+L7-L6+L8-L9-L10+L11</f>
        <v>13450000</v>
      </c>
      <c r="D66" s="59">
        <f>+L6+L9+L10</f>
        <v>162050000</v>
      </c>
      <c r="E66" s="161">
        <f>+C66/D66</f>
        <v>8.2999074359765501E-2</v>
      </c>
      <c r="F66" s="55"/>
      <c r="G66" s="55"/>
      <c r="H66" s="55"/>
      <c r="I66" s="55"/>
      <c r="J66" s="55"/>
    </row>
    <row r="67" spans="1:16" ht="33" customHeight="1" x14ac:dyDescent="0.3">
      <c r="A67" s="164" t="s">
        <v>63</v>
      </c>
      <c r="B67" s="54"/>
      <c r="C67" s="57">
        <f>L11</f>
        <v>500000</v>
      </c>
      <c r="D67" s="57">
        <f>+L6+L9+L10</f>
        <v>162050000</v>
      </c>
      <c r="E67" s="157">
        <f>+C67/D67</f>
        <v>3.0854674483184203E-3</v>
      </c>
      <c r="F67" s="54"/>
      <c r="G67" s="54"/>
      <c r="H67" s="54"/>
      <c r="I67" s="54"/>
      <c r="J67" s="54"/>
      <c r="L67" s="60" t="s">
        <v>82</v>
      </c>
      <c r="M67" s="60"/>
      <c r="N67" s="60"/>
      <c r="O67" s="60"/>
      <c r="P67" s="60"/>
    </row>
    <row r="68" spans="1:16" ht="24" customHeight="1" x14ac:dyDescent="0.3">
      <c r="A68" s="163" t="s">
        <v>64</v>
      </c>
      <c r="B68" s="55"/>
      <c r="C68" s="59">
        <f>+L7-L6+L8-L9-L10</f>
        <v>12950000</v>
      </c>
      <c r="D68" s="59">
        <f>+L6+L9+L10</f>
        <v>162050000</v>
      </c>
      <c r="E68" s="161">
        <f>+C68/D68</f>
        <v>7.9913606911447083E-2</v>
      </c>
      <c r="F68" s="55"/>
      <c r="G68" s="55"/>
      <c r="H68" s="55"/>
      <c r="I68" s="55"/>
      <c r="J68" s="55"/>
      <c r="L68" s="166"/>
      <c r="M68" s="166"/>
      <c r="N68" s="169" t="s">
        <v>26</v>
      </c>
      <c r="O68" s="170" t="s">
        <v>87</v>
      </c>
      <c r="P68" s="170" t="s">
        <v>27</v>
      </c>
    </row>
    <row r="69" spans="1:16" ht="24" customHeight="1" x14ac:dyDescent="0.3">
      <c r="L69" s="54" t="s">
        <v>52</v>
      </c>
      <c r="M69" s="54"/>
      <c r="N69" s="156">
        <f>SUM(N70:N71)</f>
        <v>2000000</v>
      </c>
      <c r="O69" s="57">
        <f>+C25+J20+J42</f>
        <v>270173913.04347825</v>
      </c>
      <c r="P69" s="157">
        <f>N69/O69</f>
        <v>7.402639201802382E-3</v>
      </c>
    </row>
    <row r="70" spans="1:16" ht="24" customHeight="1" x14ac:dyDescent="0.3">
      <c r="A70" s="155" t="s">
        <v>74</v>
      </c>
      <c r="L70" s="55" t="s">
        <v>53</v>
      </c>
      <c r="M70" s="55"/>
      <c r="N70" s="160">
        <f>+H26</f>
        <v>2200000</v>
      </c>
      <c r="O70" s="59">
        <f>+O69</f>
        <v>270173913.04347825</v>
      </c>
      <c r="P70" s="161">
        <f>N70/O70</f>
        <v>8.1429031219826201E-3</v>
      </c>
    </row>
    <row r="71" spans="1:16" ht="24" customHeight="1" x14ac:dyDescent="0.3">
      <c r="A71" s="155" t="s">
        <v>91</v>
      </c>
      <c r="L71" s="54" t="s">
        <v>54</v>
      </c>
      <c r="M71" s="54"/>
      <c r="N71" s="156">
        <f>+I26</f>
        <v>-200000</v>
      </c>
      <c r="O71" s="57">
        <f>+O70</f>
        <v>270173913.04347825</v>
      </c>
      <c r="P71" s="157">
        <f>N71/O71</f>
        <v>-7.4026392018023822E-4</v>
      </c>
    </row>
    <row r="72" spans="1:16" ht="24" customHeight="1" x14ac:dyDescent="0.3">
      <c r="A72" s="155" t="s">
        <v>89</v>
      </c>
      <c r="N72" s="53"/>
      <c r="O72" s="53"/>
      <c r="P72" s="53"/>
    </row>
    <row r="73" spans="1:16" ht="24" customHeight="1" x14ac:dyDescent="0.3">
      <c r="L73" s="54" t="s">
        <v>43</v>
      </c>
      <c r="M73" s="54"/>
      <c r="N73" s="156">
        <f>C73</f>
        <v>0</v>
      </c>
      <c r="O73" s="57">
        <f>+O69</f>
        <v>270173913.04347825</v>
      </c>
      <c r="P73" s="157">
        <f>N73/O73</f>
        <v>0</v>
      </c>
    </row>
    <row r="74" spans="1:16" ht="24" customHeight="1" x14ac:dyDescent="0.3">
      <c r="L74" s="55" t="s">
        <v>55</v>
      </c>
      <c r="M74" s="55"/>
      <c r="N74" s="160">
        <f>+N69-$F$28/4</f>
        <v>2300000</v>
      </c>
      <c r="O74" s="59">
        <f>+O69</f>
        <v>270173913.04347825</v>
      </c>
      <c r="P74" s="161">
        <f>N74/O74</f>
        <v>8.5130350820727396E-3</v>
      </c>
    </row>
    <row r="75" spans="1:16" ht="24" customHeight="1" x14ac:dyDescent="0.3"/>
    <row r="76" spans="1:16" ht="24" customHeight="1" x14ac:dyDescent="0.3">
      <c r="L76" s="60" t="s">
        <v>83</v>
      </c>
      <c r="M76" s="60"/>
      <c r="N76" s="60"/>
      <c r="O76" s="60"/>
      <c r="P76" s="60"/>
    </row>
    <row r="77" spans="1:16" ht="24" customHeight="1" x14ac:dyDescent="0.3">
      <c r="L77" s="166"/>
      <c r="M77" s="166"/>
      <c r="N77" s="169" t="s">
        <v>26</v>
      </c>
      <c r="O77" s="170" t="s">
        <v>87</v>
      </c>
      <c r="P77" s="170" t="s">
        <v>27</v>
      </c>
    </row>
    <row r="78" spans="1:16" ht="24" customHeight="1" x14ac:dyDescent="0.3">
      <c r="L78" s="54" t="s">
        <v>52</v>
      </c>
      <c r="M78" s="54"/>
      <c r="N78" s="156">
        <f>SUM(N79:N80)</f>
        <v>2800000</v>
      </c>
      <c r="O78" s="57">
        <f>+C26+J22+J23+J43</f>
        <v>293967391.30434781</v>
      </c>
      <c r="P78" s="157">
        <f>N78/O78</f>
        <v>9.5248659641338513E-3</v>
      </c>
    </row>
    <row r="79" spans="1:16" ht="24" customHeight="1" x14ac:dyDescent="0.3">
      <c r="L79" s="55" t="s">
        <v>53</v>
      </c>
      <c r="M79" s="55"/>
      <c r="N79" s="160">
        <f>+H27+H28</f>
        <v>650000</v>
      </c>
      <c r="O79" s="59">
        <f>+O78</f>
        <v>293967391.30434781</v>
      </c>
      <c r="P79" s="161">
        <f>N79/O79</f>
        <v>2.211129598816787E-3</v>
      </c>
    </row>
    <row r="80" spans="1:16" ht="24" customHeight="1" x14ac:dyDescent="0.3">
      <c r="L80" s="54" t="s">
        <v>54</v>
      </c>
      <c r="M80" s="54"/>
      <c r="N80" s="156">
        <f>+I27</f>
        <v>2150000</v>
      </c>
      <c r="O80" s="57">
        <f>+O79</f>
        <v>293967391.30434781</v>
      </c>
      <c r="P80" s="157">
        <f>N80/O80</f>
        <v>7.3137363653170643E-3</v>
      </c>
    </row>
    <row r="81" spans="12:16" ht="24" customHeight="1" x14ac:dyDescent="0.3">
      <c r="N81" s="53"/>
      <c r="O81" s="53"/>
      <c r="P81" s="53"/>
    </row>
    <row r="82" spans="12:16" ht="24" customHeight="1" x14ac:dyDescent="0.3">
      <c r="L82" s="54" t="s">
        <v>43</v>
      </c>
      <c r="M82" s="54"/>
      <c r="N82" s="156">
        <f>-B43</f>
        <v>7000000</v>
      </c>
      <c r="O82" s="57">
        <f>+O78</f>
        <v>293967391.30434781</v>
      </c>
      <c r="P82" s="157">
        <f>N82/O82</f>
        <v>2.3812164910334627E-2</v>
      </c>
    </row>
    <row r="83" spans="12:16" ht="24" customHeight="1" x14ac:dyDescent="0.3">
      <c r="L83" s="55" t="s">
        <v>55</v>
      </c>
      <c r="M83" s="55"/>
      <c r="N83" s="160">
        <f>+N78-$F$28/4</f>
        <v>3100000</v>
      </c>
      <c r="O83" s="59">
        <f>+O80</f>
        <v>293967391.30434781</v>
      </c>
      <c r="P83" s="161">
        <f>N83/O83</f>
        <v>1.0545387317433907E-2</v>
      </c>
    </row>
    <row r="84" spans="12:16" ht="24" customHeight="1" x14ac:dyDescent="0.3"/>
    <row r="85" spans="12:16" ht="24" customHeight="1" x14ac:dyDescent="0.3">
      <c r="L85" s="60" t="s">
        <v>84</v>
      </c>
      <c r="M85" s="60"/>
      <c r="N85" s="60"/>
      <c r="O85" s="60"/>
      <c r="P85" s="60"/>
    </row>
    <row r="86" spans="12:16" ht="24" customHeight="1" x14ac:dyDescent="0.3">
      <c r="L86" s="166"/>
      <c r="M86" s="166"/>
      <c r="N86" s="169" t="s">
        <v>26</v>
      </c>
      <c r="O86" s="170" t="s">
        <v>87</v>
      </c>
      <c r="P86" s="170" t="s">
        <v>27</v>
      </c>
    </row>
    <row r="87" spans="12:16" ht="24" customHeight="1" x14ac:dyDescent="0.3">
      <c r="L87" s="54" t="s">
        <v>52</v>
      </c>
      <c r="M87" s="54"/>
      <c r="N87" s="156"/>
      <c r="O87" s="57"/>
      <c r="P87" s="157">
        <f>+(1+P51)*(1+P60)*(1+P69)*(1+P78)-1</f>
        <v>2.4458732927228333E-2</v>
      </c>
    </row>
    <row r="88" spans="12:16" ht="24" customHeight="1" x14ac:dyDescent="0.3">
      <c r="L88" s="55" t="s">
        <v>53</v>
      </c>
      <c r="M88" s="55"/>
      <c r="N88" s="160"/>
      <c r="O88" s="59"/>
      <c r="P88" s="161">
        <f>+(1+P52)*(1+P61)*(1+P70)*(1+P79)-1</f>
        <v>2.535748342769728E-2</v>
      </c>
    </row>
    <row r="89" spans="12:16" ht="24" customHeight="1" x14ac:dyDescent="0.3">
      <c r="L89" s="54" t="s">
        <v>54</v>
      </c>
      <c r="M89" s="54"/>
      <c r="N89" s="156"/>
      <c r="O89" s="57"/>
      <c r="P89" s="157">
        <f>+(1+P53)*(1+P62)*(1+P71)*(1+P80)-1</f>
        <v>-9.2181567116411678E-4</v>
      </c>
    </row>
    <row r="90" spans="12:16" ht="24" customHeight="1" x14ac:dyDescent="0.3">
      <c r="N90" s="53"/>
      <c r="O90" s="53"/>
      <c r="P90" s="53"/>
    </row>
    <row r="91" spans="12:16" ht="24" customHeight="1" x14ac:dyDescent="0.3">
      <c r="L91" s="54" t="s">
        <v>43</v>
      </c>
      <c r="M91" s="54"/>
      <c r="N91" s="156"/>
      <c r="O91" s="57"/>
      <c r="P91" s="157">
        <f>+(1+P55)*(1+P64)*(1+P73)*(1+P82)-1</f>
        <v>5.0220018370323416E-2</v>
      </c>
    </row>
    <row r="92" spans="12:16" ht="24" customHeight="1" x14ac:dyDescent="0.3">
      <c r="L92" s="55" t="s">
        <v>55</v>
      </c>
      <c r="M92" s="55"/>
      <c r="N92" s="160"/>
      <c r="O92" s="59"/>
      <c r="P92" s="161">
        <f>+(1+P56)*(1+P65)*(1+P74)*(1+P83)-1</f>
        <v>2.889328136894842E-2</v>
      </c>
    </row>
    <row r="93" spans="12:16" ht="24" customHeight="1" x14ac:dyDescent="0.3"/>
    <row r="94" spans="12:16" ht="24" customHeight="1" x14ac:dyDescent="0.3"/>
    <row r="95" spans="12:16" ht="24" customHeight="1" x14ac:dyDescent="0.3"/>
    <row r="96" spans="12:16" ht="24" customHeight="1" x14ac:dyDescent="0.3"/>
    <row r="97" ht="24" customHeight="1" x14ac:dyDescent="0.3"/>
  </sheetData>
  <mergeCells count="1">
    <mergeCell ref="H49:I5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4"/>
  <sheetViews>
    <sheetView zoomScale="90" zoomScaleNormal="90" workbookViewId="0"/>
  </sheetViews>
  <sheetFormatPr defaultColWidth="9" defaultRowHeight="14.25" x14ac:dyDescent="0.2"/>
  <cols>
    <col min="1" max="1" width="43.625" style="1" customWidth="1"/>
    <col min="2" max="2" width="16.625" style="1" customWidth="1"/>
    <col min="3" max="3" width="11.25" style="1" customWidth="1"/>
    <col min="4" max="4" width="18.75" style="1" customWidth="1"/>
    <col min="5" max="5" width="12.75" style="1" bestFit="1" customWidth="1"/>
    <col min="6" max="8" width="9" style="1"/>
    <col min="9" max="9" width="11.875" style="1" customWidth="1"/>
    <col min="10" max="10" width="11.25" style="1" customWidth="1"/>
    <col min="11" max="11" width="9" style="1"/>
    <col min="12" max="12" width="21.5" style="1" customWidth="1"/>
    <col min="13" max="16384" width="9" style="1"/>
  </cols>
  <sheetData>
    <row r="1" spans="1:13" s="6" customFormat="1" ht="33" customHeight="1" x14ac:dyDescent="0.35">
      <c r="A1" s="7" t="s">
        <v>85</v>
      </c>
    </row>
    <row r="3" spans="1:13" ht="23.25" customHeight="1" x14ac:dyDescent="0.2">
      <c r="A3" s="9"/>
      <c r="B3" s="9"/>
      <c r="C3" s="9"/>
      <c r="D3" s="10" t="s">
        <v>86</v>
      </c>
      <c r="E3" s="9"/>
    </row>
    <row r="4" spans="1:13" ht="23.25" customHeight="1" x14ac:dyDescent="0.2">
      <c r="A4" s="8" t="s">
        <v>6</v>
      </c>
      <c r="B4" s="11">
        <v>-145000000</v>
      </c>
      <c r="C4" s="12">
        <v>43784</v>
      </c>
      <c r="D4" s="13" t="s">
        <v>30</v>
      </c>
      <c r="E4" s="14">
        <f>XIRR(B4:B16,C4:C16)</f>
        <v>3.7860372662544259E-2</v>
      </c>
    </row>
    <row r="5" spans="1:13" ht="23.25" customHeight="1" x14ac:dyDescent="0.2">
      <c r="A5" s="15" t="s">
        <v>7</v>
      </c>
      <c r="B5" s="16">
        <v>-26000000</v>
      </c>
      <c r="C5" s="17">
        <v>43872</v>
      </c>
      <c r="D5" s="9"/>
      <c r="E5" s="18"/>
    </row>
    <row r="6" spans="1:13" ht="23.25" customHeight="1" x14ac:dyDescent="0.2">
      <c r="A6" s="8" t="s">
        <v>8</v>
      </c>
      <c r="B6" s="11">
        <v>-39000000</v>
      </c>
      <c r="C6" s="12">
        <v>43958</v>
      </c>
      <c r="D6" s="19"/>
      <c r="E6" s="20"/>
    </row>
    <row r="7" spans="1:13" ht="23.25" customHeight="1" x14ac:dyDescent="0.2">
      <c r="A7" s="15" t="s">
        <v>9</v>
      </c>
      <c r="B7" s="21">
        <v>-25000000</v>
      </c>
      <c r="C7" s="22">
        <v>43958</v>
      </c>
      <c r="D7" s="9"/>
      <c r="E7" s="18"/>
    </row>
    <row r="8" spans="1:13" ht="23.25" customHeight="1" x14ac:dyDescent="0.2">
      <c r="A8" s="8" t="s">
        <v>42</v>
      </c>
      <c r="B8" s="23">
        <v>-1000000</v>
      </c>
      <c r="C8" s="24">
        <v>44196</v>
      </c>
      <c r="D8" s="19"/>
      <c r="E8" s="20"/>
    </row>
    <row r="9" spans="1:13" ht="23.25" customHeight="1" x14ac:dyDescent="0.2">
      <c r="A9" s="15" t="s">
        <v>10</v>
      </c>
      <c r="B9" s="21">
        <v>-35000000</v>
      </c>
      <c r="C9" s="25">
        <v>44161</v>
      </c>
      <c r="D9" s="9"/>
      <c r="E9" s="18"/>
    </row>
    <row r="10" spans="1:13" ht="23.25" customHeight="1" x14ac:dyDescent="0.2">
      <c r="A10" s="8" t="s">
        <v>11</v>
      </c>
      <c r="B10" s="23">
        <v>-25000000</v>
      </c>
      <c r="C10" s="24">
        <v>44461</v>
      </c>
      <c r="D10" s="19"/>
      <c r="E10" s="20"/>
    </row>
    <row r="11" spans="1:13" ht="23.25" customHeight="1" x14ac:dyDescent="0.2">
      <c r="A11" s="15" t="s">
        <v>12</v>
      </c>
      <c r="B11" s="16">
        <v>6000000</v>
      </c>
      <c r="C11" s="17">
        <v>43978</v>
      </c>
      <c r="D11" s="9"/>
      <c r="E11" s="18"/>
    </row>
    <row r="12" spans="1:13" ht="23.25" customHeight="1" x14ac:dyDescent="0.2">
      <c r="A12" s="8" t="s">
        <v>13</v>
      </c>
      <c r="B12" s="11">
        <v>6000000</v>
      </c>
      <c r="C12" s="12">
        <v>44137</v>
      </c>
      <c r="D12" s="19"/>
      <c r="E12" s="20"/>
    </row>
    <row r="13" spans="1:13" ht="23.25" customHeight="1" x14ac:dyDescent="0.2">
      <c r="A13" s="15" t="s">
        <v>14</v>
      </c>
      <c r="B13" s="21">
        <v>7000000</v>
      </c>
      <c r="C13" s="22">
        <v>44343</v>
      </c>
      <c r="D13" s="26"/>
      <c r="E13" s="18"/>
    </row>
    <row r="14" spans="1:13" ht="23.25" customHeight="1" x14ac:dyDescent="0.2">
      <c r="A14" s="8" t="s">
        <v>15</v>
      </c>
      <c r="B14" s="11">
        <v>7000000</v>
      </c>
      <c r="C14" s="12">
        <v>44508</v>
      </c>
      <c r="D14" s="27"/>
      <c r="E14" s="20"/>
    </row>
    <row r="15" spans="1:13" ht="23.25" customHeight="1" x14ac:dyDescent="0.2">
      <c r="A15" s="15" t="s">
        <v>42</v>
      </c>
      <c r="B15" s="21">
        <v>-1200000</v>
      </c>
      <c r="C15" s="22">
        <v>44561</v>
      </c>
      <c r="D15" s="9"/>
      <c r="E15" s="18"/>
      <c r="I15" s="2"/>
      <c r="J15" s="3"/>
      <c r="L15" s="4"/>
      <c r="M15" s="5"/>
    </row>
    <row r="16" spans="1:13" ht="23.25" customHeight="1" x14ac:dyDescent="0.2">
      <c r="A16" s="8" t="s">
        <v>65</v>
      </c>
      <c r="B16" s="23">
        <v>290000000</v>
      </c>
      <c r="C16" s="24">
        <v>44561</v>
      </c>
      <c r="D16" s="19"/>
      <c r="E16" s="20"/>
      <c r="I16" s="2"/>
      <c r="J16" s="3"/>
    </row>
    <row r="17" spans="1:12" ht="23.25" customHeight="1" x14ac:dyDescent="0.2">
      <c r="A17" s="28"/>
      <c r="B17" s="28"/>
      <c r="C17" s="28"/>
      <c r="D17" s="28"/>
      <c r="E17" s="29"/>
      <c r="I17" s="2"/>
      <c r="J17" s="3"/>
    </row>
    <row r="18" spans="1:12" ht="23.25" customHeight="1" x14ac:dyDescent="0.2">
      <c r="A18" s="28"/>
      <c r="B18" s="28"/>
      <c r="C18" s="28"/>
      <c r="D18" s="28"/>
      <c r="E18" s="29"/>
      <c r="I18" s="2"/>
      <c r="J18" s="3"/>
    </row>
    <row r="19" spans="1:12" ht="23.25" customHeight="1" x14ac:dyDescent="0.2">
      <c r="A19" s="15" t="s">
        <v>6</v>
      </c>
      <c r="B19" s="30">
        <v>-145000000</v>
      </c>
      <c r="C19" s="31">
        <v>43784</v>
      </c>
      <c r="D19" s="32" t="s">
        <v>44</v>
      </c>
      <c r="E19" s="173">
        <f>XIRR(B19:B29,C19:C29)</f>
        <v>4.2290017008781447E-2</v>
      </c>
      <c r="I19" s="2"/>
      <c r="J19" s="3"/>
    </row>
    <row r="20" spans="1:12" ht="23.25" customHeight="1" x14ac:dyDescent="0.2">
      <c r="A20" s="8" t="s">
        <v>7</v>
      </c>
      <c r="B20" s="33">
        <v>-26000000</v>
      </c>
      <c r="C20" s="34">
        <v>43872</v>
      </c>
      <c r="D20" s="19"/>
      <c r="E20" s="19"/>
      <c r="I20" s="2"/>
      <c r="J20" s="3"/>
    </row>
    <row r="21" spans="1:12" ht="23.25" customHeight="1" x14ac:dyDescent="0.2">
      <c r="A21" s="15" t="s">
        <v>8</v>
      </c>
      <c r="B21" s="35">
        <v>-39000000</v>
      </c>
      <c r="C21" s="36">
        <v>43958</v>
      </c>
      <c r="D21" s="9"/>
      <c r="E21" s="9"/>
      <c r="I21" s="2"/>
      <c r="J21" s="3"/>
    </row>
    <row r="22" spans="1:12" ht="23.25" customHeight="1" x14ac:dyDescent="0.2">
      <c r="A22" s="8" t="s">
        <v>9</v>
      </c>
      <c r="B22" s="33">
        <v>-25000000</v>
      </c>
      <c r="C22" s="34">
        <v>43958</v>
      </c>
      <c r="D22" s="19"/>
      <c r="E22" s="19"/>
      <c r="I22" s="2"/>
      <c r="J22" s="3"/>
    </row>
    <row r="23" spans="1:12" ht="23.25" customHeight="1" x14ac:dyDescent="0.2">
      <c r="A23" s="15" t="s">
        <v>10</v>
      </c>
      <c r="B23" s="35">
        <v>-35000000</v>
      </c>
      <c r="C23" s="36">
        <v>44161</v>
      </c>
      <c r="D23" s="9"/>
      <c r="E23" s="9"/>
      <c r="I23" s="2"/>
      <c r="J23" s="3"/>
    </row>
    <row r="24" spans="1:12" ht="23.25" customHeight="1" x14ac:dyDescent="0.2">
      <c r="A24" s="8" t="s">
        <v>11</v>
      </c>
      <c r="B24" s="33">
        <v>-25000000</v>
      </c>
      <c r="C24" s="34">
        <v>44461</v>
      </c>
      <c r="D24" s="19"/>
      <c r="E24" s="19"/>
      <c r="I24" s="2"/>
      <c r="J24" s="3"/>
    </row>
    <row r="25" spans="1:12" ht="23.25" customHeight="1" x14ac:dyDescent="0.2">
      <c r="A25" s="15" t="s">
        <v>12</v>
      </c>
      <c r="B25" s="35">
        <v>6000000</v>
      </c>
      <c r="C25" s="36">
        <v>43978</v>
      </c>
      <c r="D25" s="9"/>
      <c r="E25" s="9"/>
      <c r="I25" s="2"/>
      <c r="J25" s="3"/>
    </row>
    <row r="26" spans="1:12" ht="23.25" customHeight="1" x14ac:dyDescent="0.2">
      <c r="A26" s="8" t="s">
        <v>13</v>
      </c>
      <c r="B26" s="33">
        <v>6000000</v>
      </c>
      <c r="C26" s="34">
        <v>44137</v>
      </c>
      <c r="D26" s="19"/>
      <c r="E26" s="19"/>
      <c r="I26" s="2"/>
      <c r="J26" s="3"/>
    </row>
    <row r="27" spans="1:12" ht="23.25" customHeight="1" x14ac:dyDescent="0.2">
      <c r="A27" s="15" t="s">
        <v>14</v>
      </c>
      <c r="B27" s="37">
        <v>7000000</v>
      </c>
      <c r="C27" s="25">
        <v>44343</v>
      </c>
      <c r="D27" s="9"/>
      <c r="E27" s="9"/>
      <c r="I27" s="2"/>
      <c r="J27" s="3"/>
    </row>
    <row r="28" spans="1:12" ht="23.25" customHeight="1" x14ac:dyDescent="0.2">
      <c r="A28" s="8" t="s">
        <v>15</v>
      </c>
      <c r="B28" s="33">
        <v>7000000</v>
      </c>
      <c r="C28" s="34">
        <v>44508</v>
      </c>
      <c r="D28" s="19"/>
      <c r="E28" s="19"/>
    </row>
    <row r="29" spans="1:12" ht="23.25" customHeight="1" x14ac:dyDescent="0.2">
      <c r="A29" s="15" t="s">
        <v>65</v>
      </c>
      <c r="B29" s="37">
        <f>+PM!E7-PM!F23-PM!F28</f>
        <v>290000000</v>
      </c>
      <c r="C29" s="25">
        <v>44561</v>
      </c>
      <c r="D29" s="9"/>
      <c r="E29" s="9"/>
    </row>
    <row r="32" spans="1:12" x14ac:dyDescent="0.2">
      <c r="I32" s="2"/>
      <c r="J32" s="3"/>
      <c r="L32" s="4"/>
    </row>
    <row r="33" spans="9:10" x14ac:dyDescent="0.2">
      <c r="I33" s="2"/>
      <c r="J33" s="3"/>
    </row>
    <row r="34" spans="9:10" x14ac:dyDescent="0.2">
      <c r="I34" s="2"/>
      <c r="J34" s="3"/>
    </row>
    <row r="35" spans="9:10" x14ac:dyDescent="0.2">
      <c r="I35" s="2"/>
      <c r="J35" s="3"/>
    </row>
    <row r="36" spans="9:10" x14ac:dyDescent="0.2">
      <c r="I36" s="2"/>
      <c r="J36" s="3"/>
    </row>
    <row r="37" spans="9:10" x14ac:dyDescent="0.2">
      <c r="I37" s="2"/>
      <c r="J37" s="3"/>
    </row>
    <row r="38" spans="9:10" x14ac:dyDescent="0.2">
      <c r="I38" s="2"/>
      <c r="J38" s="3"/>
    </row>
    <row r="39" spans="9:10" x14ac:dyDescent="0.2">
      <c r="I39" s="2"/>
      <c r="J39" s="3"/>
    </row>
    <row r="40" spans="9:10" x14ac:dyDescent="0.2">
      <c r="I40" s="2"/>
      <c r="J40" s="3"/>
    </row>
    <row r="41" spans="9:10" x14ac:dyDescent="0.2">
      <c r="I41" s="2"/>
      <c r="J41" s="3"/>
    </row>
    <row r="42" spans="9:10" x14ac:dyDescent="0.2">
      <c r="I42" s="2"/>
      <c r="J42" s="3"/>
    </row>
    <row r="43" spans="9:10" x14ac:dyDescent="0.2">
      <c r="I43" s="2"/>
      <c r="J43" s="3"/>
    </row>
    <row r="44" spans="9:10" x14ac:dyDescent="0.2">
      <c r="I44" s="2"/>
      <c r="J44" s="3"/>
    </row>
  </sheetData>
  <pageMargins left="0.7" right="0.7" top="0.75" bottom="0.75" header="0.3" footer="0.3"/>
  <pageSetup paperSize="9" orientation="portrait" horizontalDpi="30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43B7BF9FADC24383D9D34D924723C9" ma:contentTypeVersion="18" ma:contentTypeDescription="Create a new document." ma:contentTypeScope="" ma:versionID="0af0ab1328f6c7f80245755c2c06e719">
  <xsd:schema xmlns:xsd="http://www.w3.org/2001/XMLSchema" xmlns:xs="http://www.w3.org/2001/XMLSchema" xmlns:p="http://schemas.microsoft.com/office/2006/metadata/properties" xmlns:ns2="61f97334-ae98-4ddf-87ee-81edeebb5d8e" xmlns:ns3="3cacb1fb-8034-49eb-92fa-02e9d9e8c610" targetNamespace="http://schemas.microsoft.com/office/2006/metadata/properties" ma:root="true" ma:fieldsID="c91a455e3f6a0c94bf68d199800a786c" ns2:_="" ns3:_="">
    <xsd:import namespace="61f97334-ae98-4ddf-87ee-81edeebb5d8e"/>
    <xsd:import namespace="3cacb1fb-8034-49eb-92fa-02e9d9e8c6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_Flow_SignoffStatu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97334-ae98-4ddf-87ee-81edeebb5d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13" nillable="true" ma:displayName="Sign-off status" ma:internalName="_x0024_Resources_x003a_core_x002c_Signoff_Status_x003b_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478df0fa-3822-4368-8bf3-00f7616829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cb1fb-8034-49eb-92fa-02e9d9e8c61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151472ca-fc9d-4c1c-8c51-4fe053b30565}" ma:internalName="TaxCatchAll" ma:showField="CatchAllData" ma:web="3cacb1fb-8034-49eb-92fa-02e9d9e8c6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61f97334-ae98-4ddf-87ee-81edeebb5d8e" xsi:nil="true"/>
    <TaxCatchAll xmlns="3cacb1fb-8034-49eb-92fa-02e9d9e8c610" xsi:nil="true"/>
    <lcf76f155ced4ddcb4097134ff3c332f xmlns="61f97334-ae98-4ddf-87ee-81edeebb5d8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34CE108-4AD3-4560-B0F7-16D45A08A5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f97334-ae98-4ddf-87ee-81edeebb5d8e"/>
    <ds:schemaRef ds:uri="3cacb1fb-8034-49eb-92fa-02e9d9e8c6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EDF298-0EF2-4658-8637-18EB4BB21F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A7613A-A69E-442A-A092-1EEEDE04CB92}">
  <ds:schemaRefs>
    <ds:schemaRef ds:uri="http://schemas.microsoft.com/office/2006/metadata/properties"/>
    <ds:schemaRef ds:uri="http://schemas.microsoft.com/office/infopath/2007/PartnerControls"/>
    <ds:schemaRef ds:uri="61f97334-ae98-4ddf-87ee-81edeebb5d8e"/>
    <ds:schemaRef ds:uri="3cacb1fb-8034-49eb-92fa-02e9d9e8c61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PM</vt:lpstr>
      <vt:lpstr>IRR calculation</vt:lpstr>
    </vt:vector>
  </TitlesOfParts>
  <Company>Ernst &amp; Young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Renaud Breyer</dc:creator>
  <cp:lastModifiedBy>Shrey Yadav</cp:lastModifiedBy>
  <dcterms:created xsi:type="dcterms:W3CDTF">2015-06-29T08:05:55Z</dcterms:created>
  <dcterms:modified xsi:type="dcterms:W3CDTF">2022-07-11T14:15:17Z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0x010100FB43B7BF9FADC24383D9D34D924723C9</vt:lpwstr>
  </property>
  <property fmtid="{D5CDD505-2E9C-101B-9397-08002B2CF9AE}" pid="3" name="MSIP_Label_6728d34b-09dd-414e-89f0-623d36467f77_Enabled">
    <vt:lpwstr>true</vt:lpwstr>
  </property>
  <property fmtid="{D5CDD505-2E9C-101B-9397-08002B2CF9AE}" pid="4" name="MSIP_Label_6728d34b-09dd-414e-89f0-623d36467f77_SetDate">
    <vt:lpwstr>2022-03-16T09:22:31Z</vt:lpwstr>
  </property>
  <property fmtid="{D5CDD505-2E9C-101B-9397-08002B2CF9AE}" pid="5" name="MSIP_Label_6728d34b-09dd-414e-89f0-623d36467f77_Method">
    <vt:lpwstr>Standard</vt:lpwstr>
  </property>
  <property fmtid="{D5CDD505-2E9C-101B-9397-08002B2CF9AE}" pid="6" name="MSIP_Label_6728d34b-09dd-414e-89f0-623d36467f77_Name">
    <vt:lpwstr>NG Confidential</vt:lpwstr>
  </property>
  <property fmtid="{D5CDD505-2E9C-101B-9397-08002B2CF9AE}" pid="7" name="MSIP_Label_6728d34b-09dd-414e-89f0-623d36467f77_SiteId">
    <vt:lpwstr>a33f2caf-ddef-4af8-9b0e-c2560e9c26af</vt:lpwstr>
  </property>
  <property fmtid="{D5CDD505-2E9C-101B-9397-08002B2CF9AE}" pid="8" name="MSIP_Label_6728d34b-09dd-414e-89f0-623d36467f77_ActionId">
    <vt:lpwstr>ad4843de-2f6b-4f6d-b656-8ad3f73d7af0</vt:lpwstr>
  </property>
  <property fmtid="{D5CDD505-2E9C-101B-9397-08002B2CF9AE}" pid="9" name="MSIP_Label_6728d34b-09dd-414e-89f0-623d36467f77_ContentBits">
    <vt:lpwstr>0</vt:lpwstr>
  </property>
  <property fmtid="{D5CDD505-2E9C-101B-9397-08002B2CF9AE}" pid="10" name="MSIP_Label_e7ca7294-c5f9-4a60-a4c4-465a16c83246_Enabled">
    <vt:lpwstr>true</vt:lpwstr>
  </property>
  <property fmtid="{D5CDD505-2E9C-101B-9397-08002B2CF9AE}" pid="11" name="MSIP_Label_e7ca7294-c5f9-4a60-a4c4-465a16c83246_SetDate">
    <vt:lpwstr>2022-03-23T09:05:47Z</vt:lpwstr>
  </property>
  <property fmtid="{D5CDD505-2E9C-101B-9397-08002B2CF9AE}" pid="12" name="MSIP_Label_e7ca7294-c5f9-4a60-a4c4-465a16c83246_Method">
    <vt:lpwstr>Standard</vt:lpwstr>
  </property>
  <property fmtid="{D5CDD505-2E9C-101B-9397-08002B2CF9AE}" pid="13" name="MSIP_Label_e7ca7294-c5f9-4a60-a4c4-465a16c83246_Name">
    <vt:lpwstr>Internal</vt:lpwstr>
  </property>
  <property fmtid="{D5CDD505-2E9C-101B-9397-08002B2CF9AE}" pid="14" name="MSIP_Label_e7ca7294-c5f9-4a60-a4c4-465a16c83246_SiteId">
    <vt:lpwstr>f36d0a0b-122d-4d4b-9a62-2f60847775a7</vt:lpwstr>
  </property>
  <property fmtid="{D5CDD505-2E9C-101B-9397-08002B2CF9AE}" pid="15" name="MSIP_Label_e7ca7294-c5f9-4a60-a4c4-465a16c83246_ActionId">
    <vt:lpwstr>aa93e021-8cdc-420c-bf69-54d9ecaa3cc3</vt:lpwstr>
  </property>
  <property fmtid="{D5CDD505-2E9C-101B-9397-08002B2CF9AE}" pid="16" name="MSIP_Label_e7ca7294-c5f9-4a60-a4c4-465a16c83246_ContentBits">
    <vt:lpwstr>0</vt:lpwstr>
  </property>
  <property fmtid="{D5CDD505-2E9C-101B-9397-08002B2CF9AE}" pid="17" name="MediaServiceImageTags">
    <vt:lpwstr/>
  </property>
</Properties>
</file>